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S:\Clients 2017\Ticer\Website\"/>
    </mc:Choice>
  </mc:AlternateContent>
  <bookViews>
    <workbookView xWindow="0" yWindow="0" windowWidth="28800" windowHeight="12210" activeTab="2"/>
  </bookViews>
  <sheets>
    <sheet name="Design Res &amp; Power &amp; Tol &amp; Etch" sheetId="5" r:id="rId1"/>
    <sheet name="Design Length &amp; Width" sheetId="1" r:id="rId2"/>
    <sheet name="Design Resistance &amp; Width" sheetId="2" r:id="rId3"/>
    <sheet name="Design Resistance &amp; Length" sheetId="3" r:id="rId4"/>
  </sheets>
  <definedNames>
    <definedName name="DesL100.01">#REF!</definedName>
    <definedName name="DesL100.02">#REF!</definedName>
    <definedName name="DesL100.03">#REF!</definedName>
    <definedName name="DesL100.04">#REF!</definedName>
    <definedName name="DesL100.05">#REF!</definedName>
    <definedName name="DesL100.06">#REF!</definedName>
    <definedName name="Desl100.1">'Design Length &amp; Width'!$AI$13</definedName>
    <definedName name="Desl100.2">'Design Length &amp; Width'!$AI$24</definedName>
    <definedName name="DesL100.3">'Design Length &amp; Width'!$AI$35</definedName>
    <definedName name="DesL100.4">'Design Length &amp; Width'!$AI$46</definedName>
    <definedName name="DesL100.5">'Design Length &amp; Width'!$AI$57</definedName>
    <definedName name="DesL100.6">'Design Length &amp; Width'!$AI$68</definedName>
    <definedName name="DesL1000.01">#REF!</definedName>
    <definedName name="DesL1000.02">#REF!</definedName>
    <definedName name="DesL1000.03">#REF!</definedName>
    <definedName name="DesL1000.04">#REF!</definedName>
    <definedName name="DesL1000.05">#REF!</definedName>
    <definedName name="DesL1000.06">#REF!</definedName>
    <definedName name="DesL1000.1">'Design Length &amp; Width'!$AI$15</definedName>
    <definedName name="DesL1000.2">'Design Length &amp; Width'!$AI$26</definedName>
    <definedName name="DesL1000.3">'Design Length &amp; Width'!$AI$37</definedName>
    <definedName name="DesL1000.4">'Design Length &amp; Width'!$AI$48</definedName>
    <definedName name="DesL1000.5">'Design Length &amp; Width'!$AI$59</definedName>
    <definedName name="DesL1000.6">'Design Length &amp; Width'!$AI$70</definedName>
    <definedName name="DesL25.01">#REF!</definedName>
    <definedName name="DesL25.02">#REF!</definedName>
    <definedName name="DesL25.03">#REF!</definedName>
    <definedName name="DesL25.04">#REF!</definedName>
    <definedName name="DesL25.05">#REF!</definedName>
    <definedName name="DesL25.06">#REF!</definedName>
    <definedName name="DesL25.1">'Design Length &amp; Width'!$AI$11</definedName>
    <definedName name="DesL25.2">'Design Length &amp; Width'!$AI$22</definedName>
    <definedName name="DesL25.3">'Design Length &amp; Width'!$AI$33</definedName>
    <definedName name="DesL25.4">'Design Length &amp; Width'!$AI$44</definedName>
    <definedName name="DesL25.5">'Design Length &amp; Width'!$AI$55</definedName>
    <definedName name="DesL25.6">'Design Length &amp; Width'!$AI$66</definedName>
    <definedName name="DesL250.01">#REF!</definedName>
    <definedName name="DesL250.02">#REF!</definedName>
    <definedName name="DesL250.03">#REF!</definedName>
    <definedName name="DesL250.04">#REF!</definedName>
    <definedName name="DesL250.05">#REF!</definedName>
    <definedName name="DesL250.06">#REF!</definedName>
    <definedName name="DesL250.1">'Design Length &amp; Width'!$AI$14</definedName>
    <definedName name="DesL250.2">'Design Length &amp; Width'!$AI$25</definedName>
    <definedName name="DesL250.3">'Design Length &amp; Width'!$AI$36</definedName>
    <definedName name="DesL250.4">'Design Length &amp; Width'!$AI$47</definedName>
    <definedName name="DesL250.5">'Design Length &amp; Width'!$AI$58</definedName>
    <definedName name="DesL250.6">'Design Length &amp; Width'!$AI$69</definedName>
    <definedName name="DesL50.01">#REF!</definedName>
    <definedName name="DesL50.02">#REF!</definedName>
    <definedName name="DesL50.03">#REF!</definedName>
    <definedName name="DesL50.04">#REF!</definedName>
    <definedName name="DesL50.05">#REF!</definedName>
    <definedName name="DesL50.06">#REF!</definedName>
    <definedName name="DesL50.1">'Design Length &amp; Width'!$AI$12</definedName>
    <definedName name="DesL50.2">'Design Length &amp; Width'!$AI$23</definedName>
    <definedName name="DesL50.3">'Design Length &amp; Width'!$AI$34</definedName>
    <definedName name="DesL50.4">'Design Length &amp; Width'!$AI$45</definedName>
    <definedName name="DesL50.5">'Design Length &amp; Width'!$AI$56</definedName>
    <definedName name="DesL50.6">'Design Length &amp; Width'!$AI$67</definedName>
    <definedName name="DesL75.1">'Design Length &amp; Width'!#REF!</definedName>
    <definedName name="DesL75.2">'Design Length &amp; Width'!#REF!</definedName>
    <definedName name="DesL75.3">'Design Length &amp; Width'!#REF!</definedName>
    <definedName name="DesL75.4">'Design Length &amp; Width'!#REF!</definedName>
    <definedName name="DesL75.5">'Design Length &amp; Width'!#REF!</definedName>
    <definedName name="DesL75.6">'Design Length &amp; Width'!#REF!</definedName>
    <definedName name="DesW100.01">#REF!</definedName>
    <definedName name="DesW100.02">#REF!</definedName>
    <definedName name="DesW100.03">#REF!</definedName>
    <definedName name="DesW100.04">#REF!</definedName>
    <definedName name="DesW100.05">#REF!</definedName>
    <definedName name="DesW100.06">#REF!</definedName>
    <definedName name="DesW100.1">'Design Length &amp; Width'!$AH$13</definedName>
    <definedName name="DesW100.2">'Design Length &amp; Width'!$AH$24</definedName>
    <definedName name="DesW100.3">'Design Length &amp; Width'!$AH$35</definedName>
    <definedName name="DesW100.4">'Design Length &amp; Width'!$AH$46</definedName>
    <definedName name="DesW100.5">'Design Length &amp; Width'!$AH$57</definedName>
    <definedName name="DesW100.6">'Design Length &amp; Width'!$AH$68</definedName>
    <definedName name="DesW1000.01">#REF!</definedName>
    <definedName name="DesW1000.02">#REF!</definedName>
    <definedName name="DesW1000.03">#REF!</definedName>
    <definedName name="DesW1000.04">#REF!</definedName>
    <definedName name="DesW1000.05">#REF!</definedName>
    <definedName name="DesW1000.06">#REF!</definedName>
    <definedName name="DesW1000.1">'Design Length &amp; Width'!$AH$15</definedName>
    <definedName name="DesW1000.2">'Design Length &amp; Width'!$AH$26</definedName>
    <definedName name="DesW1000.3">'Design Length &amp; Width'!$AH$37</definedName>
    <definedName name="DesW1000.4">'Design Length &amp; Width'!$AH$48</definedName>
    <definedName name="DesW1000.5">'Design Length &amp; Width'!$AH$59</definedName>
    <definedName name="DesW1000.6">'Design Length &amp; Width'!$AH$70</definedName>
    <definedName name="DesW25.01">#REF!</definedName>
    <definedName name="DesW25.02">#REF!</definedName>
    <definedName name="DesW25.03">#REF!</definedName>
    <definedName name="DesW25.04">#REF!</definedName>
    <definedName name="DesW25.05">#REF!</definedName>
    <definedName name="DesW25.06">#REF!</definedName>
    <definedName name="DesW25.1">'Design Length &amp; Width'!$AH$11</definedName>
    <definedName name="DesW25.2">'Design Length &amp; Width'!$AH$22</definedName>
    <definedName name="DesW25.3">'Design Length &amp; Width'!$AH$33</definedName>
    <definedName name="DesW25.4">'Design Length &amp; Width'!$AH$44</definedName>
    <definedName name="DesW25.5">'Design Length &amp; Width'!$AH$55</definedName>
    <definedName name="DesW25.6">'Design Length &amp; Width'!$AH$66</definedName>
    <definedName name="DesW250.01">#REF!</definedName>
    <definedName name="DesW250.02">#REF!</definedName>
    <definedName name="DesW250.03">#REF!</definedName>
    <definedName name="DesW250.04">#REF!</definedName>
    <definedName name="DesW250.05">#REF!</definedName>
    <definedName name="DesW250.06">#REF!</definedName>
    <definedName name="DesW250.1">'Design Length &amp; Width'!$AH$14</definedName>
    <definedName name="DesW250.2">'Design Length &amp; Width'!$AH$25</definedName>
    <definedName name="DesW250.3">'Design Length &amp; Width'!$AH$36</definedName>
    <definedName name="DesW250.4">'Design Length &amp; Width'!$AH$47</definedName>
    <definedName name="DesW250.5">'Design Length &amp; Width'!$AH$58</definedName>
    <definedName name="DesW250.6">'Design Length &amp; Width'!$AH$69</definedName>
    <definedName name="DesW50.01">#REF!</definedName>
    <definedName name="DesW50.02">#REF!</definedName>
    <definedName name="DesW50.03">#REF!</definedName>
    <definedName name="DesW50.04">#REF!</definedName>
    <definedName name="DesW50.05">#REF!</definedName>
    <definedName name="DesW50.06">#REF!</definedName>
    <definedName name="DesW50.1">'Design Length &amp; Width'!$AH$12</definedName>
    <definedName name="DesW50.2">'Design Length &amp; Width'!$AH$23</definedName>
    <definedName name="DesW50.3">'Design Length &amp; Width'!$AH$34</definedName>
    <definedName name="DesW50.4">'Design Length &amp; Width'!$AH$45</definedName>
    <definedName name="DesW50.5">'Design Length &amp; Width'!$AH$56</definedName>
    <definedName name="DesW50.6">'Design Length &amp; Width'!$AH$67</definedName>
    <definedName name="DesW75.1">'Design Length &amp; Width'!#REF!</definedName>
    <definedName name="DesW75.2">'Design Length &amp; Width'!#REF!</definedName>
    <definedName name="DesW75.3">'Design Length &amp; Width'!#REF!</definedName>
    <definedName name="DesW75.4">'Design Length &amp; Width'!#REF!</definedName>
    <definedName name="DesW75.5">'Design Length &amp; Width'!#REF!</definedName>
    <definedName name="DesW75.6">'Design Length &amp; Width'!#REF!</definedName>
    <definedName name="Min1000.5">'Design Length &amp; Width'!$AG$59</definedName>
    <definedName name="MinL100.01">#REF!</definedName>
    <definedName name="MinL100.02">#REF!</definedName>
    <definedName name="MinL100.03">#REF!</definedName>
    <definedName name="MinL100.04">#REF!</definedName>
    <definedName name="MinL100.05">#REF!</definedName>
    <definedName name="MinL100.06">#REF!</definedName>
    <definedName name="MinL100.1">'Design Length &amp; Width'!$AG$13</definedName>
    <definedName name="MinL100.2">'Design Length &amp; Width'!$AG$24</definedName>
    <definedName name="MinL100.3">'Design Length &amp; Width'!$AG$35</definedName>
    <definedName name="MinL100.4">'Design Length &amp; Width'!$AG$46</definedName>
    <definedName name="MinL100.5">'Design Length &amp; Width'!$AG$57</definedName>
    <definedName name="MinL100.6">'Design Length &amp; Width'!$AG$68</definedName>
    <definedName name="MinL1000.01">#REF!</definedName>
    <definedName name="MinL1000.02">#REF!</definedName>
    <definedName name="MinL1000.03">#REF!</definedName>
    <definedName name="MinL1000.04">#REF!</definedName>
    <definedName name="MinL1000.05">#REF!</definedName>
    <definedName name="MinL1000.06">#REF!</definedName>
    <definedName name="MinL1000.1">'Design Length &amp; Width'!$AG$15</definedName>
    <definedName name="MinL1000.2">'Design Length &amp; Width'!$AG$26</definedName>
    <definedName name="MinL1000.3">'Design Length &amp; Width'!$AG$37</definedName>
    <definedName name="MinL1000.4">'Design Length &amp; Width'!$AG$48</definedName>
    <definedName name="MinL1000.6">'Design Length &amp; Width'!$AG$70</definedName>
    <definedName name="MinL25.01">#REF!</definedName>
    <definedName name="MinL25.02">#REF!</definedName>
    <definedName name="MinL25.03">#REF!</definedName>
    <definedName name="MinL25.04">#REF!</definedName>
    <definedName name="MinL25.05">#REF!</definedName>
    <definedName name="MinL25.06">#REF!</definedName>
    <definedName name="MinL25.1">'Design Length &amp; Width'!$AG$11</definedName>
    <definedName name="MinL25.2">'Design Length &amp; Width'!$AG$22</definedName>
    <definedName name="MinL25.3">'Design Length &amp; Width'!$AG$33</definedName>
    <definedName name="MinL25.4">'Design Length &amp; Width'!$AG$44</definedName>
    <definedName name="MinL25.5">'Design Length &amp; Width'!$AG$55</definedName>
    <definedName name="MinL25.6">'Design Length &amp; Width'!$AG$66</definedName>
    <definedName name="MinL250.01">#REF!</definedName>
    <definedName name="MinL250.02">#REF!</definedName>
    <definedName name="MinL250.03">#REF!</definedName>
    <definedName name="MinL250.04">#REF!</definedName>
    <definedName name="MinL250.05">#REF!</definedName>
    <definedName name="MinL250.06">#REF!</definedName>
    <definedName name="MinL250.1">'Design Length &amp; Width'!$AG$14</definedName>
    <definedName name="MinL250.2">'Design Length &amp; Width'!$AG$25</definedName>
    <definedName name="MinL250.3">'Design Length &amp; Width'!$AG$36</definedName>
    <definedName name="MinL250.4">'Design Length &amp; Width'!$AG$47</definedName>
    <definedName name="MinL250.5">'Design Length &amp; Width'!$AG$58</definedName>
    <definedName name="MinL250.6">'Design Length &amp; Width'!$AG$69</definedName>
    <definedName name="MinL50.01">#REF!</definedName>
    <definedName name="MinL50.02">#REF!</definedName>
    <definedName name="MinL50.03">#REF!</definedName>
    <definedName name="MinL50.04">#REF!</definedName>
    <definedName name="MinL50.05">#REF!</definedName>
    <definedName name="MinL50.06">#REF!</definedName>
    <definedName name="MinL50.1">'Design Length &amp; Width'!$AG$12</definedName>
    <definedName name="MinL50.2">'Design Length &amp; Width'!$AG$23</definedName>
    <definedName name="MinL50.3">'Design Length &amp; Width'!$AG$34</definedName>
    <definedName name="MinL50.4">'Design Length &amp; Width'!$AG$45</definedName>
    <definedName name="MinL50.5">'Design Length &amp; Width'!$AG$56</definedName>
    <definedName name="MinL50.6">'Design Length &amp; Width'!$AG$67</definedName>
    <definedName name="MinL75.1">'Design Length &amp; Width'!#REF!</definedName>
    <definedName name="MinL75.2">'Design Length &amp; Width'!#REF!</definedName>
    <definedName name="MinL75.3">'Design Length &amp; Width'!#REF!</definedName>
    <definedName name="MinL75.4">'Design Length &amp; Width'!#REF!</definedName>
    <definedName name="MinL75.5">'Design Length &amp; Width'!#REF!</definedName>
    <definedName name="MinL75.6">'Design Length &amp; Width'!#REF!</definedName>
    <definedName name="MinW100.01">#REF!</definedName>
    <definedName name="MinW100.02">#REF!</definedName>
    <definedName name="MinW100.03">#REF!</definedName>
    <definedName name="MinW100.05">#REF!</definedName>
    <definedName name="MinW100.06">#REF!</definedName>
    <definedName name="MinW100.1">'Design Length &amp; Width'!$AF$13</definedName>
    <definedName name="MinW100.2">'Design Length &amp; Width'!$AF$24</definedName>
    <definedName name="MinW100.3">'Design Length &amp; Width'!$AF$35</definedName>
    <definedName name="MinW100.4">'Design Length &amp; Width'!$AF$46</definedName>
    <definedName name="MinW100.5">'Design Length &amp; Width'!$AF$57</definedName>
    <definedName name="MinW100.6">'Design Length &amp; Width'!$AF$68</definedName>
    <definedName name="MinW100.o4">#REF!</definedName>
    <definedName name="MinW1000.01">#REF!</definedName>
    <definedName name="MinW1000.02">#REF!</definedName>
    <definedName name="MinW1000.03">#REF!</definedName>
    <definedName name="MinW1000.04">#REF!</definedName>
    <definedName name="MinW1000.05">#REF!</definedName>
    <definedName name="MinW1000.06">#REF!</definedName>
    <definedName name="MinW1000.1">'Design Length &amp; Width'!$AF$15</definedName>
    <definedName name="MinW1000.2">'Design Length &amp; Width'!$AF$26</definedName>
    <definedName name="MinW1000.3">'Design Length &amp; Width'!$AF$37</definedName>
    <definedName name="MinW1000.4">'Design Length &amp; Width'!$AF$48</definedName>
    <definedName name="MinW1000.5">'Design Length &amp; Width'!$AF$59</definedName>
    <definedName name="MinW1000.6">'Design Length &amp; Width'!$AF$70</definedName>
    <definedName name="MinW25.01">#REF!</definedName>
    <definedName name="MinW25.02">#REF!</definedName>
    <definedName name="MinW25.03">#REF!</definedName>
    <definedName name="MinW25.04">#REF!</definedName>
    <definedName name="MinW25.05">#REF!</definedName>
    <definedName name="MinW25.06">#REF!</definedName>
    <definedName name="MinW25.1">'Design Length &amp; Width'!$AF$11</definedName>
    <definedName name="MinW25.2">'Design Length &amp; Width'!$AF$22</definedName>
    <definedName name="MinW25.3">'Design Length &amp; Width'!$AF$33</definedName>
    <definedName name="MinW25.4">'Design Length &amp; Width'!$AF$44</definedName>
    <definedName name="MinW25.5">'Design Length &amp; Width'!$AF$55</definedName>
    <definedName name="MinW25.6">'Design Length &amp; Width'!$AF$66</definedName>
    <definedName name="MinW250.01">#REF!</definedName>
    <definedName name="MinW250.02">#REF!</definedName>
    <definedName name="MinW250.03">#REF!</definedName>
    <definedName name="MinW250.04">#REF!</definedName>
    <definedName name="MinW250.05">#REF!</definedName>
    <definedName name="MinW250.06">#REF!</definedName>
    <definedName name="MinW250.1">'Design Length &amp; Width'!$AF$14</definedName>
    <definedName name="MinW250.2">'Design Length &amp; Width'!$AF$25</definedName>
    <definedName name="MinW250.3">'Design Length &amp; Width'!$AF$36</definedName>
    <definedName name="MinW250.4">'Design Length &amp; Width'!$AF$47</definedName>
    <definedName name="MinW250.5">'Design Length &amp; Width'!$AF$58</definedName>
    <definedName name="MinW250.6">'Design Length &amp; Width'!$AF$69</definedName>
    <definedName name="MinW50.01">#REF!</definedName>
    <definedName name="MinW50.02">#REF!</definedName>
    <definedName name="MinW50.03">#REF!</definedName>
    <definedName name="MinW50.04">#REF!</definedName>
    <definedName name="MinW50.05">#REF!</definedName>
    <definedName name="MinW50.06">#REF!</definedName>
    <definedName name="MinW50.1">'Design Length &amp; Width'!$AF$12</definedName>
    <definedName name="MinW50.2">'Design Length &amp; Width'!$AF$23</definedName>
    <definedName name="MinW50.3">'Design Length &amp; Width'!$AF$34</definedName>
    <definedName name="MinW50.4">'Design Length &amp; Width'!$AF$45</definedName>
    <definedName name="MinW50.5">'Design Length &amp; Width'!$AF$56</definedName>
    <definedName name="MinW50.6">'Design Length &amp; Width'!$AF$67</definedName>
    <definedName name="MinW75.1">'Design Length &amp; Width'!#REF!</definedName>
    <definedName name="MinW75.2">'Design Length &amp; Width'!#REF!</definedName>
    <definedName name="MinW75.3">'Design Length &amp; Width'!#REF!</definedName>
    <definedName name="MinW75.4">'Design Length &amp; Width'!#REF!</definedName>
    <definedName name="MinW75.5">'Design Length &amp; Width'!#REF!</definedName>
    <definedName name="MinW75.6">'Design Length &amp; Width'!#REF!</definedName>
    <definedName name="_PD01">#REF!</definedName>
    <definedName name="_PD02">#REF!</definedName>
    <definedName name="_PD03">#REF!</definedName>
    <definedName name="_PD04">#REF!</definedName>
    <definedName name="_PD05">#REF!</definedName>
    <definedName name="_PD06">#REF!</definedName>
    <definedName name="_PD1">'Design Length &amp; Width'!$C$12</definedName>
    <definedName name="_PD2">'Design Length &amp; Width'!$F$12</definedName>
    <definedName name="_PD3">'Design Length &amp; Width'!$I$12</definedName>
    <definedName name="_PD4">'Design Length &amp; Width'!$L$12</definedName>
    <definedName name="_PD5">'Design Length &amp; Width'!$O$12</definedName>
    <definedName name="_PD6">'Design Length &amp; Width'!$R$12</definedName>
    <definedName name="_xlnm.Print_Area" localSheetId="1">'Design Length &amp; Width'!$A$1:$T$55</definedName>
    <definedName name="_xlnm.Print_Area" localSheetId="0">'Design Res &amp; Power &amp; Tol &amp; Etch'!$A$1:$T$54</definedName>
    <definedName name="_xlnm.Print_Area" localSheetId="3">'Design Resistance &amp; Length'!$A$1:$T$45</definedName>
    <definedName name="_xlnm.Print_Area" localSheetId="2">'Design Resistance &amp; Width'!$A$1:$T$45</definedName>
    <definedName name="_RES01">#REF!</definedName>
    <definedName name="_RES02">#REF!</definedName>
    <definedName name="_RES03">#REF!</definedName>
    <definedName name="_RES04">#REF!</definedName>
    <definedName name="_RES05">#REF!</definedName>
    <definedName name="_RES06">#REF!</definedName>
    <definedName name="_RES1">'Design Length &amp; Width'!$C$11</definedName>
    <definedName name="_RES2">'Design Length &amp; Width'!$F$11</definedName>
    <definedName name="_RES3">'Design Length &amp; Width'!$I$11</definedName>
    <definedName name="_RES4">'Design Length &amp; Width'!$L$11</definedName>
    <definedName name="_RES5">'Design Length &amp; Width'!$O$11</definedName>
    <definedName name="_RES6">'Design Length &amp; Width'!$R$11</definedName>
    <definedName name="Squ100.01">#REF!</definedName>
    <definedName name="Squ100.02">#REF!</definedName>
    <definedName name="Squ100.03">#REF!</definedName>
    <definedName name="Squ100.04">#REF!</definedName>
    <definedName name="Squ100.05">#REF!</definedName>
    <definedName name="Squ100.06">#REF!</definedName>
    <definedName name="Squ100.1">'Design Length &amp; Width'!$AE$13</definedName>
    <definedName name="Squ100.2">'Design Length &amp; Width'!$AE$24</definedName>
    <definedName name="Squ100.3">'Design Length &amp; Width'!$AE$35</definedName>
    <definedName name="Squ100.4">'Design Length &amp; Width'!$AE$46</definedName>
    <definedName name="Squ100.5">'Design Length &amp; Width'!$AE$57</definedName>
    <definedName name="Squ100.6">'Design Length &amp; Width'!$AE$68</definedName>
    <definedName name="Squ1000.01">#REF!</definedName>
    <definedName name="Squ1000.02">#REF!</definedName>
    <definedName name="Squ1000.03">#REF!</definedName>
    <definedName name="Squ1000.04">#REF!</definedName>
    <definedName name="Squ1000.05">#REF!</definedName>
    <definedName name="Squ1000.06">#REF!</definedName>
    <definedName name="Squ1000.1">'Design Length &amp; Width'!$AE$15</definedName>
    <definedName name="Squ1000.2">'Design Length &amp; Width'!$AE$26</definedName>
    <definedName name="Squ1000.3">'Design Length &amp; Width'!$AE$37</definedName>
    <definedName name="Squ1000.4">'Design Length &amp; Width'!$AE$48</definedName>
    <definedName name="Squ1000.5">'Design Length &amp; Width'!$AE$59</definedName>
    <definedName name="Squ1000.6">'Design Length &amp; Width'!$AE$70</definedName>
    <definedName name="Squ25.01">#REF!</definedName>
    <definedName name="Squ25.02">#REF!</definedName>
    <definedName name="Squ25.03">#REF!</definedName>
    <definedName name="Squ25.04">#REF!</definedName>
    <definedName name="Squ25.05">#REF!</definedName>
    <definedName name="Squ25.06">#REF!</definedName>
    <definedName name="Squ25.1">'Design Length &amp; Width'!$AE$11</definedName>
    <definedName name="Squ25.2">'Design Length &amp; Width'!$AE$22</definedName>
    <definedName name="Squ25.3">'Design Length &amp; Width'!$AE$33</definedName>
    <definedName name="Squ25.4">'Design Length &amp; Width'!$AE$44</definedName>
    <definedName name="Squ25.5">'Design Length &amp; Width'!$AE$55</definedName>
    <definedName name="Squ25.6">'Design Length &amp; Width'!$AE$66</definedName>
    <definedName name="Squ250.01">#REF!</definedName>
    <definedName name="Squ250.02">#REF!</definedName>
    <definedName name="Squ250.03">#REF!</definedName>
    <definedName name="Squ250.04">#REF!</definedName>
    <definedName name="Squ250.05">#REF!</definedName>
    <definedName name="Squ250.06">#REF!</definedName>
    <definedName name="Squ250.1">'Design Length &amp; Width'!$AE$14</definedName>
    <definedName name="Squ250.2">'Design Length &amp; Width'!$AE$25</definedName>
    <definedName name="Squ250.3">'Design Length &amp; Width'!$AE$36</definedName>
    <definedName name="Squ250.4">'Design Length &amp; Width'!$AE$47</definedName>
    <definedName name="Squ250.5">'Design Length &amp; Width'!$AE$58</definedName>
    <definedName name="Squ250.6">'Design Length &amp; Width'!$AE$69</definedName>
    <definedName name="Squ50.01">#REF!</definedName>
    <definedName name="Squ50.02">#REF!</definedName>
    <definedName name="Squ50.03">#REF!</definedName>
    <definedName name="Squ50.04">#REF!</definedName>
    <definedName name="Squ50.05">#REF!</definedName>
    <definedName name="Squ50.06">#REF!</definedName>
    <definedName name="Squ50.1">'Design Length &amp; Width'!$AE$12</definedName>
    <definedName name="Squ50.2">'Design Length &amp; Width'!$AE$23</definedName>
    <definedName name="Squ50.3">'Design Length &amp; Width'!$AE$34</definedName>
    <definedName name="Squ50.4">'Design Length &amp; Width'!$AE$45</definedName>
    <definedName name="Squ50.5">'Design Length &amp; Width'!$AE$56</definedName>
    <definedName name="Squ50.6">'Design Length &amp; Width'!$AE$67</definedName>
    <definedName name="Squ75.1">'Design Length &amp; Width'!#REF!</definedName>
    <definedName name="Squ75.2">'Design Length &amp; Width'!#REF!</definedName>
    <definedName name="Squ75.3">'Design Length &amp; Width'!#REF!</definedName>
    <definedName name="Squ75.4">'Design Length &amp; Width'!#REF!</definedName>
    <definedName name="Squ75.5">'Design Length &amp; Width'!#REF!</definedName>
    <definedName name="Squ75.6">'Design Length &amp; Width'!#REF!</definedName>
    <definedName name="_TOL01">#REF!</definedName>
    <definedName name="_TOL02">#REF!</definedName>
    <definedName name="_TOL03">#REF!</definedName>
    <definedName name="_TOL04">#REF!</definedName>
    <definedName name="_TOL05">#REF!</definedName>
    <definedName name="_TOL06">#REF!</definedName>
    <definedName name="_TOL1">'Design Length &amp; Width'!$C$13</definedName>
    <definedName name="_TOL2">'Design Length &amp; Width'!$F$13</definedName>
    <definedName name="_TOL3">'Design Length &amp; Width'!$I$13</definedName>
    <definedName name="_TOL4">'Design Length &amp; Width'!$L$13</definedName>
    <definedName name="_TOL5">'Design Length &amp; Width'!$O$13</definedName>
    <definedName name="_TOL6">'Design Length &amp; Width'!$R$13</definedName>
  </definedNames>
  <calcPr calcId="171027"/>
</workbook>
</file>

<file path=xl/calcChain.xml><?xml version="1.0" encoding="utf-8"?>
<calcChain xmlns="http://schemas.openxmlformats.org/spreadsheetml/2006/main">
  <c r="AF48" i="2" l="1"/>
  <c r="AD48" i="2" s="1"/>
  <c r="AC48" i="2" s="1"/>
  <c r="AF37" i="2"/>
  <c r="AD37" i="2" s="1"/>
  <c r="AC37" i="2" s="1"/>
  <c r="AF26" i="2"/>
  <c r="AD26" i="2"/>
  <c r="AC26" i="2" s="1"/>
  <c r="AF15" i="2"/>
  <c r="AD15" i="2"/>
  <c r="AC15" i="2"/>
  <c r="AC64" i="5"/>
  <c r="AC16" i="5"/>
  <c r="AF59" i="5"/>
  <c r="AF49" i="5"/>
  <c r="AG49" i="5" s="1"/>
  <c r="AF39" i="5"/>
  <c r="AF35" i="5"/>
  <c r="AE28" i="5"/>
  <c r="AF28" i="5" s="1"/>
  <c r="AE27" i="5"/>
  <c r="AF27" i="5"/>
  <c r="AE26" i="5"/>
  <c r="AF26" i="5" s="1"/>
  <c r="AE25" i="5"/>
  <c r="AF25" i="5"/>
  <c r="AG25" i="5" s="1"/>
  <c r="AE24" i="5"/>
  <c r="AF24" i="5" s="1"/>
  <c r="AE23" i="5"/>
  <c r="AF23" i="5"/>
  <c r="AD26" i="1"/>
  <c r="AC26" i="1" s="1"/>
  <c r="AG26" i="1" s="1"/>
  <c r="G39" i="1" s="1"/>
  <c r="AE15" i="1"/>
  <c r="C55" i="1"/>
  <c r="AE14" i="1"/>
  <c r="AE13" i="1"/>
  <c r="C53" i="1"/>
  <c r="AE12" i="1"/>
  <c r="C52" i="1" s="1"/>
  <c r="AE11" i="1"/>
  <c r="C51" i="1"/>
  <c r="AD67" i="1"/>
  <c r="AE67" i="1"/>
  <c r="AD68" i="1"/>
  <c r="AE68" i="1"/>
  <c r="AH68" i="1"/>
  <c r="AD69" i="1"/>
  <c r="AE69" i="1"/>
  <c r="AD70" i="1"/>
  <c r="AC70" i="1" s="1"/>
  <c r="AG70" i="1" s="1"/>
  <c r="AE70" i="1"/>
  <c r="AH70" i="1"/>
  <c r="AD66" i="1"/>
  <c r="AE66" i="1"/>
  <c r="AD56" i="1"/>
  <c r="AE56" i="1"/>
  <c r="AH56" i="1"/>
  <c r="AD57" i="1"/>
  <c r="AH57" i="1" s="1"/>
  <c r="AI57" i="1" s="1"/>
  <c r="AE57" i="1"/>
  <c r="AD58" i="1"/>
  <c r="AE58" i="1"/>
  <c r="AH58" i="1"/>
  <c r="AD59" i="1"/>
  <c r="AE59" i="1"/>
  <c r="AD55" i="1"/>
  <c r="AE55" i="1"/>
  <c r="AH55" i="1"/>
  <c r="AD45" i="1"/>
  <c r="AE45" i="1"/>
  <c r="AD46" i="1"/>
  <c r="AE46" i="1"/>
  <c r="AH46" i="1"/>
  <c r="AD47" i="1"/>
  <c r="AE47" i="1"/>
  <c r="AD48" i="1"/>
  <c r="AC48" i="1" s="1"/>
  <c r="AG48" i="1" s="1"/>
  <c r="M39" i="1" s="1"/>
  <c r="AE48" i="1"/>
  <c r="AH48" i="1"/>
  <c r="AD44" i="1"/>
  <c r="AE44" i="1"/>
  <c r="AD34" i="1"/>
  <c r="AE34" i="1"/>
  <c r="AH34" i="1"/>
  <c r="AD35" i="1"/>
  <c r="AH35" i="1" s="1"/>
  <c r="AI35" i="1" s="1"/>
  <c r="AE35" i="1"/>
  <c r="AJ35" i="1"/>
  <c r="K37" i="1" s="1"/>
  <c r="AD36" i="1"/>
  <c r="AE36" i="1"/>
  <c r="AH36" i="1"/>
  <c r="AD37" i="1"/>
  <c r="AH37" i="1" s="1"/>
  <c r="AI37" i="1" s="1"/>
  <c r="AE37" i="1"/>
  <c r="AD33" i="1"/>
  <c r="AE33" i="1"/>
  <c r="AH33" i="1"/>
  <c r="AD12" i="1"/>
  <c r="AD13" i="1"/>
  <c r="AH13" i="1" s="1"/>
  <c r="AI13" i="1" s="1"/>
  <c r="AJ13" i="1"/>
  <c r="E37" i="1" s="1"/>
  <c r="AD14" i="1"/>
  <c r="AD15" i="1"/>
  <c r="AC15" i="1" s="1"/>
  <c r="AG15" i="1" s="1"/>
  <c r="D39" i="1" s="1"/>
  <c r="AH15" i="1"/>
  <c r="AD11" i="1"/>
  <c r="AD23" i="1"/>
  <c r="AE23" i="1"/>
  <c r="AH23" i="1"/>
  <c r="AI23" i="1"/>
  <c r="AD24" i="1"/>
  <c r="AE24" i="1"/>
  <c r="AD25" i="1"/>
  <c r="AE25" i="1"/>
  <c r="AH25" i="1"/>
  <c r="AJ25" i="1" s="1"/>
  <c r="H38" i="1" s="1"/>
  <c r="AI25" i="1"/>
  <c r="AE26" i="1"/>
  <c r="AH26" i="1"/>
  <c r="AD22" i="1"/>
  <c r="AE22" i="1"/>
  <c r="AF44" i="1"/>
  <c r="AC68" i="1"/>
  <c r="AG68" i="1" s="1"/>
  <c r="S37" i="1" s="1"/>
  <c r="AC58" i="1"/>
  <c r="AC57" i="1"/>
  <c r="AG57" i="1" s="1"/>
  <c r="P37" i="1" s="1"/>
  <c r="AC56" i="1"/>
  <c r="AC55" i="1"/>
  <c r="AC46" i="1"/>
  <c r="AC36" i="1"/>
  <c r="AC35" i="1"/>
  <c r="AG35" i="1" s="1"/>
  <c r="J37" i="1" s="1"/>
  <c r="AC34" i="1"/>
  <c r="AC33" i="1"/>
  <c r="AC25" i="1"/>
  <c r="AC24" i="1"/>
  <c r="AG24" i="1" s="1"/>
  <c r="G37" i="1" s="1"/>
  <c r="AC23" i="1"/>
  <c r="AC14" i="1"/>
  <c r="AC13" i="1"/>
  <c r="AG13" i="1" s="1"/>
  <c r="D37" i="1" s="1"/>
  <c r="AF70" i="1"/>
  <c r="R39" i="1"/>
  <c r="AF59" i="1"/>
  <c r="O39" i="1"/>
  <c r="AF48" i="1"/>
  <c r="L39" i="1"/>
  <c r="AF37" i="1"/>
  <c r="I39" i="1"/>
  <c r="AF26" i="1"/>
  <c r="F39" i="1"/>
  <c r="AF15" i="1"/>
  <c r="C39" i="1"/>
  <c r="AF69" i="1"/>
  <c r="AF58" i="1"/>
  <c r="O38" i="1" s="1"/>
  <c r="AF47" i="1"/>
  <c r="AF36" i="1"/>
  <c r="AF25" i="1"/>
  <c r="AF14" i="1"/>
  <c r="C38" i="1" s="1"/>
  <c r="R55" i="1"/>
  <c r="O55" i="1"/>
  <c r="L55" i="1"/>
  <c r="I55" i="1"/>
  <c r="F55" i="1"/>
  <c r="S39" i="1"/>
  <c r="AF67" i="1"/>
  <c r="R36" i="1" s="1"/>
  <c r="AF66" i="1"/>
  <c r="R35" i="1" s="1"/>
  <c r="AF11" i="1"/>
  <c r="R38" i="1"/>
  <c r="AF68" i="1"/>
  <c r="R37" i="1" s="1"/>
  <c r="AF57" i="1"/>
  <c r="O37" i="1"/>
  <c r="AF56" i="1"/>
  <c r="O36" i="1" s="1"/>
  <c r="AF55" i="1"/>
  <c r="O35" i="1"/>
  <c r="L38" i="1"/>
  <c r="AF46" i="1"/>
  <c r="L37" i="1" s="1"/>
  <c r="AF45" i="1"/>
  <c r="L36" i="1" s="1"/>
  <c r="L35" i="1"/>
  <c r="I38" i="1"/>
  <c r="AF35" i="1"/>
  <c r="I37" i="1" s="1"/>
  <c r="AF34" i="1"/>
  <c r="I36" i="1" s="1"/>
  <c r="AF33" i="1"/>
  <c r="I35" i="1" s="1"/>
  <c r="F38" i="1"/>
  <c r="AF23" i="1"/>
  <c r="F36" i="1"/>
  <c r="AF22" i="1"/>
  <c r="F35" i="1"/>
  <c r="AF13" i="1"/>
  <c r="C37" i="1" s="1"/>
  <c r="AF12" i="1"/>
  <c r="C36" i="1" s="1"/>
  <c r="C35" i="1"/>
  <c r="O52" i="1"/>
  <c r="AG58" i="1"/>
  <c r="P38" i="1" s="1"/>
  <c r="AG56" i="1"/>
  <c r="P36" i="1" s="1"/>
  <c r="AG55" i="1"/>
  <c r="P35" i="1"/>
  <c r="AG46" i="1"/>
  <c r="M37" i="1" s="1"/>
  <c r="AG36" i="1"/>
  <c r="J38" i="1" s="1"/>
  <c r="AG34" i="1"/>
  <c r="J36" i="1" s="1"/>
  <c r="AG33" i="1"/>
  <c r="J35" i="1"/>
  <c r="AG25" i="1"/>
  <c r="G38" i="1" s="1"/>
  <c r="AG23" i="1"/>
  <c r="G36" i="1" s="1"/>
  <c r="AG14" i="1"/>
  <c r="D38" i="1" s="1"/>
  <c r="R54" i="1"/>
  <c r="O54" i="1"/>
  <c r="L54" i="1"/>
  <c r="I54" i="1"/>
  <c r="F54" i="1"/>
  <c r="F51" i="1"/>
  <c r="I51" i="1"/>
  <c r="L51" i="1"/>
  <c r="O51" i="1"/>
  <c r="R51" i="1"/>
  <c r="F52" i="1"/>
  <c r="I52" i="1"/>
  <c r="L52" i="1"/>
  <c r="R52" i="1"/>
  <c r="I53" i="1"/>
  <c r="L53" i="1"/>
  <c r="O53" i="1"/>
  <c r="R53" i="1"/>
  <c r="AE72" i="5"/>
  <c r="AF72" i="5" s="1"/>
  <c r="AE73" i="5"/>
  <c r="AF73" i="5" s="1"/>
  <c r="AG73" i="5" s="1"/>
  <c r="AE74" i="5"/>
  <c r="AF74" i="5" s="1"/>
  <c r="AE75" i="5"/>
  <c r="AF75" i="5" s="1"/>
  <c r="AE76" i="5"/>
  <c r="AF76" i="5" s="1"/>
  <c r="AE71" i="5"/>
  <c r="AE60" i="5"/>
  <c r="AF60" i="5" s="1"/>
  <c r="P35" i="5" s="1"/>
  <c r="AE61" i="5"/>
  <c r="AF61" i="5" s="1"/>
  <c r="AE62" i="5"/>
  <c r="AF62" i="5" s="1"/>
  <c r="AE63" i="5"/>
  <c r="AE64" i="5"/>
  <c r="AF64" i="5" s="1"/>
  <c r="AE59" i="5"/>
  <c r="AE48" i="5"/>
  <c r="AF48" i="5" s="1"/>
  <c r="AE49" i="5"/>
  <c r="AE50" i="5"/>
  <c r="AF50" i="5" s="1"/>
  <c r="AE51" i="5"/>
  <c r="AF51" i="5" s="1"/>
  <c r="AE52" i="5"/>
  <c r="AF52" i="5" s="1"/>
  <c r="AE47" i="5"/>
  <c r="AE40" i="5"/>
  <c r="AF40" i="5" s="1"/>
  <c r="AE39" i="5"/>
  <c r="AE38" i="5"/>
  <c r="AF38" i="5" s="1"/>
  <c r="AE37" i="5"/>
  <c r="AE36" i="5"/>
  <c r="AF36" i="5" s="1"/>
  <c r="AE35" i="5"/>
  <c r="AE16" i="5"/>
  <c r="AF16" i="5"/>
  <c r="AD76" i="5"/>
  <c r="AC76" i="5" s="1"/>
  <c r="AD75" i="5"/>
  <c r="AD74" i="5"/>
  <c r="AD73" i="5"/>
  <c r="AC73" i="5" s="1"/>
  <c r="AD72" i="5"/>
  <c r="AD71" i="5"/>
  <c r="AD64" i="5"/>
  <c r="AD63" i="5"/>
  <c r="AD62" i="5"/>
  <c r="AD61" i="5"/>
  <c r="AD60" i="5"/>
  <c r="AD59" i="5"/>
  <c r="AD52" i="5"/>
  <c r="AC52" i="5" s="1"/>
  <c r="AD51" i="5"/>
  <c r="AD50" i="5"/>
  <c r="AD49" i="5"/>
  <c r="AD48" i="5"/>
  <c r="AD47" i="5"/>
  <c r="AD40" i="5"/>
  <c r="AC40" i="5" s="1"/>
  <c r="AD39" i="5"/>
  <c r="AD38" i="5"/>
  <c r="AD37" i="5"/>
  <c r="AD36" i="5"/>
  <c r="AD35" i="5"/>
  <c r="AD28" i="5"/>
  <c r="AC28" i="5" s="1"/>
  <c r="AD27" i="5"/>
  <c r="AD26" i="5"/>
  <c r="AD25" i="5"/>
  <c r="AC25" i="5" s="1"/>
  <c r="AD24" i="5"/>
  <c r="AD23" i="5"/>
  <c r="L53" i="5"/>
  <c r="L54" i="5"/>
  <c r="L52" i="5"/>
  <c r="R53" i="5"/>
  <c r="R54" i="5"/>
  <c r="R52" i="5"/>
  <c r="R51" i="5"/>
  <c r="O54" i="5"/>
  <c r="O52" i="5"/>
  <c r="O51" i="5"/>
  <c r="O50" i="5"/>
  <c r="L51" i="5"/>
  <c r="I53" i="5"/>
  <c r="I54" i="5"/>
  <c r="I52" i="5"/>
  <c r="I51" i="5"/>
  <c r="I50" i="5"/>
  <c r="F53" i="5"/>
  <c r="F54" i="5"/>
  <c r="F52" i="5"/>
  <c r="F51" i="5"/>
  <c r="F50" i="5"/>
  <c r="AE15" i="5"/>
  <c r="C54" i="5"/>
  <c r="AE14" i="5"/>
  <c r="C52" i="5"/>
  <c r="AE12" i="5"/>
  <c r="C51" i="5"/>
  <c r="AE11" i="5"/>
  <c r="C50" i="5"/>
  <c r="AD15" i="5"/>
  <c r="AD16" i="5"/>
  <c r="AH16" i="5"/>
  <c r="AD14" i="5"/>
  <c r="AH14" i="5" s="1"/>
  <c r="AF14" i="5"/>
  <c r="AH76" i="5"/>
  <c r="R38" i="5"/>
  <c r="AH75" i="5"/>
  <c r="AI75" i="5"/>
  <c r="AH74" i="5"/>
  <c r="T36" i="5"/>
  <c r="AI74" i="5"/>
  <c r="R36" i="5"/>
  <c r="AH72" i="5"/>
  <c r="AI72" i="5"/>
  <c r="AJ72" i="5" s="1"/>
  <c r="AH64" i="5"/>
  <c r="P38" i="5"/>
  <c r="AH62" i="5"/>
  <c r="AI62" i="5" s="1"/>
  <c r="AG62" i="5"/>
  <c r="P36" i="5"/>
  <c r="AH60" i="5"/>
  <c r="AI60" i="5" s="1"/>
  <c r="AG60" i="5"/>
  <c r="O35" i="5"/>
  <c r="AG59" i="5"/>
  <c r="AH52" i="5"/>
  <c r="N38" i="5"/>
  <c r="AG52" i="5"/>
  <c r="M38" i="5"/>
  <c r="L38" i="5"/>
  <c r="AH51" i="5"/>
  <c r="N37" i="5" s="1"/>
  <c r="AG51" i="5"/>
  <c r="AI51" i="5"/>
  <c r="M37" i="5" s="1"/>
  <c r="AH50" i="5"/>
  <c r="AG50" i="5"/>
  <c r="AH48" i="5"/>
  <c r="N35" i="5" s="1"/>
  <c r="AG48" i="5"/>
  <c r="AI48" i="5"/>
  <c r="M35" i="5" s="1"/>
  <c r="AH47" i="5"/>
  <c r="AH40" i="5"/>
  <c r="K38" i="5" s="1"/>
  <c r="AG40" i="5"/>
  <c r="J38" i="5" s="1"/>
  <c r="I38" i="5"/>
  <c r="AG39" i="5"/>
  <c r="AH38" i="5"/>
  <c r="K36" i="5" s="1"/>
  <c r="AG38" i="5"/>
  <c r="AI38" i="5"/>
  <c r="I36" i="5"/>
  <c r="AH36" i="5"/>
  <c r="K35" i="5"/>
  <c r="AG36" i="5"/>
  <c r="J35" i="5" s="1"/>
  <c r="AI36" i="5"/>
  <c r="I35" i="5"/>
  <c r="AG35" i="5"/>
  <c r="AH27" i="5"/>
  <c r="H37" i="5"/>
  <c r="AH28" i="5"/>
  <c r="F38" i="5" s="1"/>
  <c r="H38" i="5"/>
  <c r="AH26" i="5"/>
  <c r="H36" i="5"/>
  <c r="AG27" i="5"/>
  <c r="G37" i="5" s="1"/>
  <c r="AI27" i="5"/>
  <c r="AG28" i="5"/>
  <c r="G38" i="5" s="1"/>
  <c r="AG26" i="5"/>
  <c r="AI26" i="5"/>
  <c r="G36" i="5"/>
  <c r="AH24" i="5"/>
  <c r="G35" i="5" s="1"/>
  <c r="H35" i="5"/>
  <c r="AH23" i="5"/>
  <c r="H34" i="5"/>
  <c r="AD12" i="5"/>
  <c r="AH12" i="5"/>
  <c r="AJ12" i="5" s="1"/>
  <c r="AF12" i="5"/>
  <c r="E35" i="5"/>
  <c r="AD11" i="5"/>
  <c r="AH11" i="5"/>
  <c r="D34" i="5" s="1"/>
  <c r="AF11" i="5"/>
  <c r="E34" i="5"/>
  <c r="AG24" i="5"/>
  <c r="AI24" i="5"/>
  <c r="AG23" i="5"/>
  <c r="G34" i="5" s="1"/>
  <c r="AI23" i="5"/>
  <c r="AG11" i="5"/>
  <c r="AI11" i="5"/>
  <c r="F37" i="5"/>
  <c r="F36" i="5"/>
  <c r="F35" i="5"/>
  <c r="F34" i="5"/>
  <c r="AI14" i="5"/>
  <c r="AG14" i="5"/>
  <c r="D36" i="5" s="1"/>
  <c r="AI12" i="5"/>
  <c r="AG12" i="5"/>
  <c r="D35" i="5"/>
  <c r="C38" i="5"/>
  <c r="C36" i="5"/>
  <c r="C35" i="5"/>
  <c r="AI16" i="5"/>
  <c r="AJ16" i="5"/>
  <c r="AJ14" i="5"/>
  <c r="AJ11" i="5"/>
  <c r="AE13" i="5"/>
  <c r="AF13" i="5"/>
  <c r="AD13" i="5"/>
  <c r="AI76" i="5"/>
  <c r="AJ76" i="5" s="1"/>
  <c r="AJ75" i="5"/>
  <c r="AJ74" i="5"/>
  <c r="AI64" i="5"/>
  <c r="AJ64" i="5"/>
  <c r="AJ62" i="5"/>
  <c r="AH61" i="5"/>
  <c r="AJ61" i="5" s="1"/>
  <c r="AI61" i="5"/>
  <c r="AJ60" i="5"/>
  <c r="AI52" i="5"/>
  <c r="AJ52" i="5" s="1"/>
  <c r="AJ51" i="5"/>
  <c r="AJ48" i="5"/>
  <c r="AI40" i="5"/>
  <c r="AJ40" i="5"/>
  <c r="AJ36" i="5"/>
  <c r="AI28" i="5"/>
  <c r="AJ28" i="5" s="1"/>
  <c r="AJ27" i="5"/>
  <c r="AJ26" i="5"/>
  <c r="AH25" i="5"/>
  <c r="AJ24" i="5"/>
  <c r="AJ23" i="5"/>
  <c r="AH13" i="5"/>
  <c r="AJ13" i="5" s="1"/>
  <c r="AI13" i="5"/>
  <c r="AC75" i="5"/>
  <c r="AC74" i="5"/>
  <c r="AC72" i="5"/>
  <c r="AC71" i="5"/>
  <c r="AC62" i="5"/>
  <c r="AG61" i="5"/>
  <c r="AC61" i="5"/>
  <c r="AC60" i="5"/>
  <c r="AC51" i="5"/>
  <c r="AC50" i="5"/>
  <c r="AC48" i="5"/>
  <c r="AC47" i="5"/>
  <c r="AC38" i="5"/>
  <c r="AC37" i="5"/>
  <c r="AC36" i="5"/>
  <c r="AC27" i="5"/>
  <c r="AC26" i="5"/>
  <c r="AC24" i="5"/>
  <c r="AC23" i="5"/>
  <c r="AC15" i="5"/>
  <c r="AC14" i="5"/>
  <c r="AG13" i="5"/>
  <c r="AC13" i="5"/>
  <c r="AC12" i="5"/>
  <c r="AC11" i="5"/>
  <c r="AF70" i="3"/>
  <c r="AF69" i="3"/>
  <c r="AD69" i="3"/>
  <c r="AE69" i="3"/>
  <c r="AF68" i="3"/>
  <c r="AD68" i="3" s="1"/>
  <c r="AE68" i="3"/>
  <c r="R43" i="3" s="1"/>
  <c r="AF67" i="3"/>
  <c r="AE67" i="3" s="1"/>
  <c r="AD67" i="3"/>
  <c r="AH67" i="3"/>
  <c r="AF66" i="3"/>
  <c r="AF48" i="3"/>
  <c r="AD48" i="3"/>
  <c r="AE48" i="3"/>
  <c r="AF47" i="3"/>
  <c r="AD47" i="3" s="1"/>
  <c r="AE47" i="3"/>
  <c r="L44" i="3" s="1"/>
  <c r="AF46" i="3"/>
  <c r="AD46" i="3" s="1"/>
  <c r="AF45" i="3"/>
  <c r="AF44" i="3"/>
  <c r="AD44" i="3"/>
  <c r="AE44" i="3"/>
  <c r="AF59" i="3"/>
  <c r="AD59" i="3" s="1"/>
  <c r="AE59" i="3"/>
  <c r="AF58" i="3"/>
  <c r="AD58" i="3" s="1"/>
  <c r="AF57" i="3"/>
  <c r="AF56" i="3"/>
  <c r="AD56" i="3"/>
  <c r="AH56" i="3" s="1"/>
  <c r="AI56" i="3" s="1"/>
  <c r="AE56" i="3"/>
  <c r="AJ56" i="3"/>
  <c r="Q26" i="3" s="1"/>
  <c r="AF55" i="3"/>
  <c r="AD55" i="3" s="1"/>
  <c r="AE55" i="3"/>
  <c r="O41" i="3" s="1"/>
  <c r="AF37" i="3"/>
  <c r="AD37" i="3" s="1"/>
  <c r="AC37" i="3" s="1"/>
  <c r="AG37" i="3" s="1"/>
  <c r="J29" i="3" s="1"/>
  <c r="AF36" i="3"/>
  <c r="I28" i="3" s="1"/>
  <c r="AF35" i="3"/>
  <c r="AD35" i="3"/>
  <c r="AH35" i="3" s="1"/>
  <c r="AE35" i="3"/>
  <c r="AF34" i="3"/>
  <c r="AD34" i="3" s="1"/>
  <c r="AE34" i="3"/>
  <c r="AF33" i="3"/>
  <c r="AD33" i="3"/>
  <c r="AE33" i="3"/>
  <c r="AH33" i="3"/>
  <c r="AF26" i="3"/>
  <c r="AF25" i="3"/>
  <c r="AE25" i="3" s="1"/>
  <c r="AD25" i="3"/>
  <c r="AF24" i="3"/>
  <c r="AD24" i="3" s="1"/>
  <c r="AE24" i="3"/>
  <c r="F43" i="3" s="1"/>
  <c r="AF23" i="3"/>
  <c r="AD23" i="3"/>
  <c r="AE23" i="3"/>
  <c r="AH23" i="3"/>
  <c r="AF22" i="3"/>
  <c r="AF15" i="3"/>
  <c r="AE15" i="3" s="1"/>
  <c r="C45" i="3" s="1"/>
  <c r="AD15" i="3"/>
  <c r="AF14" i="3"/>
  <c r="AD14" i="3" s="1"/>
  <c r="AE14" i="3"/>
  <c r="C44" i="3" s="1"/>
  <c r="AF13" i="3"/>
  <c r="AD13" i="3"/>
  <c r="AE13" i="3"/>
  <c r="AH13" i="3"/>
  <c r="AF12" i="3"/>
  <c r="AF11" i="3"/>
  <c r="AE11" i="3" s="1"/>
  <c r="C41" i="3" s="1"/>
  <c r="AD11" i="3"/>
  <c r="AC67" i="3"/>
  <c r="AG67" i="3" s="1"/>
  <c r="AC56" i="3"/>
  <c r="AC46" i="3"/>
  <c r="AC35" i="3"/>
  <c r="AC33" i="3"/>
  <c r="AC25" i="3"/>
  <c r="AG25" i="3" s="1"/>
  <c r="AC23" i="3"/>
  <c r="AC11" i="3"/>
  <c r="AG11" i="3" s="1"/>
  <c r="D25" i="3" s="1"/>
  <c r="AC13" i="3"/>
  <c r="O45" i="3"/>
  <c r="L45" i="3"/>
  <c r="R29" i="3"/>
  <c r="O29" i="3"/>
  <c r="L29" i="3"/>
  <c r="I29" i="3"/>
  <c r="F29" i="3"/>
  <c r="C29" i="3"/>
  <c r="R28" i="3"/>
  <c r="R27" i="3"/>
  <c r="O28" i="3"/>
  <c r="O27" i="3"/>
  <c r="L28" i="3"/>
  <c r="L27" i="3"/>
  <c r="I27" i="3"/>
  <c r="F28" i="3"/>
  <c r="F27" i="3"/>
  <c r="AG46" i="3"/>
  <c r="M27" i="3" s="1"/>
  <c r="AG35" i="3"/>
  <c r="J27" i="3" s="1"/>
  <c r="G28" i="3"/>
  <c r="AG56" i="3"/>
  <c r="P26" i="3" s="1"/>
  <c r="R44" i="3"/>
  <c r="F44" i="3"/>
  <c r="I43" i="3"/>
  <c r="C43" i="3"/>
  <c r="R42" i="3"/>
  <c r="O42" i="3"/>
  <c r="I42" i="3"/>
  <c r="F42" i="3"/>
  <c r="L41" i="3"/>
  <c r="I41" i="3"/>
  <c r="AG33" i="3"/>
  <c r="C28" i="3"/>
  <c r="AG13" i="3"/>
  <c r="D27" i="3" s="1"/>
  <c r="C27" i="3"/>
  <c r="S26" i="3"/>
  <c r="R26" i="3"/>
  <c r="O26" i="3"/>
  <c r="L26" i="3"/>
  <c r="I26" i="3"/>
  <c r="AG23" i="3"/>
  <c r="G26" i="3"/>
  <c r="F26" i="3"/>
  <c r="C26" i="3"/>
  <c r="O25" i="3"/>
  <c r="L25" i="3"/>
  <c r="J25" i="3"/>
  <c r="I25" i="3"/>
  <c r="F25" i="3"/>
  <c r="C25" i="3"/>
  <c r="AF56" i="2"/>
  <c r="AD56" i="2" s="1"/>
  <c r="AF57" i="2"/>
  <c r="AD57" i="2"/>
  <c r="AC57" i="2" s="1"/>
  <c r="AE57" i="2"/>
  <c r="O43" i="2" s="1"/>
  <c r="AF58" i="2"/>
  <c r="AD58" i="2" s="1"/>
  <c r="AF59" i="2"/>
  <c r="AE59" i="2" s="1"/>
  <c r="AD59" i="2"/>
  <c r="AC59" i="2" s="1"/>
  <c r="AH59" i="2"/>
  <c r="AJ59" i="2" s="1"/>
  <c r="Q29" i="2" s="1"/>
  <c r="AI59" i="2"/>
  <c r="AF67" i="2"/>
  <c r="AD67" i="2"/>
  <c r="AE67" i="2"/>
  <c r="R42" i="2" s="1"/>
  <c r="AF68" i="2"/>
  <c r="AD68" i="2"/>
  <c r="AC68" i="2" s="1"/>
  <c r="AE68" i="2"/>
  <c r="AH68" i="2"/>
  <c r="AI68" i="2" s="1"/>
  <c r="AJ68" i="2"/>
  <c r="T27" i="2" s="1"/>
  <c r="AF69" i="2"/>
  <c r="AD69" i="2" s="1"/>
  <c r="AE69" i="2"/>
  <c r="AH69" i="2"/>
  <c r="AF70" i="2"/>
  <c r="AE70" i="2" s="1"/>
  <c r="AD70" i="2"/>
  <c r="AC70" i="2" s="1"/>
  <c r="AG70" i="2" s="1"/>
  <c r="S29" i="2" s="1"/>
  <c r="AF66" i="2"/>
  <c r="AD66" i="2" s="1"/>
  <c r="AF55" i="2"/>
  <c r="AD55" i="2"/>
  <c r="AH55" i="2" s="1"/>
  <c r="AE55" i="2"/>
  <c r="O41" i="2" s="1"/>
  <c r="AF45" i="2"/>
  <c r="AD45" i="2" s="1"/>
  <c r="AF46" i="2"/>
  <c r="AE46" i="2" s="1"/>
  <c r="AD46" i="2"/>
  <c r="AC46" i="2" s="1"/>
  <c r="AH46" i="2"/>
  <c r="AJ46" i="2" s="1"/>
  <c r="N27" i="2" s="1"/>
  <c r="AI46" i="2"/>
  <c r="AF47" i="2"/>
  <c r="AD47" i="2"/>
  <c r="AE47" i="2"/>
  <c r="AE48" i="2"/>
  <c r="AH48" i="2"/>
  <c r="AI48" i="2"/>
  <c r="AJ48" i="2"/>
  <c r="N29" i="2" s="1"/>
  <c r="AF44" i="2"/>
  <c r="AD44" i="2" s="1"/>
  <c r="AF34" i="2"/>
  <c r="AD34" i="2"/>
  <c r="AH34" i="2" s="1"/>
  <c r="AE34" i="2"/>
  <c r="I42" i="2" s="1"/>
  <c r="AF35" i="2"/>
  <c r="AD35" i="2" s="1"/>
  <c r="AC35" i="2" s="1"/>
  <c r="AG35" i="2" s="1"/>
  <c r="J27" i="2" s="1"/>
  <c r="AF36" i="2"/>
  <c r="AE36" i="2" s="1"/>
  <c r="AD36" i="2"/>
  <c r="AH36" i="2"/>
  <c r="AJ36" i="2" s="1"/>
  <c r="K28" i="2" s="1"/>
  <c r="AI36" i="2"/>
  <c r="AE37" i="2"/>
  <c r="AH37" i="2"/>
  <c r="AI37" i="2"/>
  <c r="AF33" i="2"/>
  <c r="AE33" i="2" s="1"/>
  <c r="AD33" i="2"/>
  <c r="AH33" i="2"/>
  <c r="AI33" i="2" s="1"/>
  <c r="AF23" i="2"/>
  <c r="AE23" i="2" s="1"/>
  <c r="F42" i="2" s="1"/>
  <c r="AD23" i="2"/>
  <c r="AF24" i="2"/>
  <c r="AD24" i="2"/>
  <c r="AC24" i="2" s="1"/>
  <c r="AE24" i="2"/>
  <c r="AH24" i="2"/>
  <c r="AI24" i="2" s="1"/>
  <c r="AF25" i="2"/>
  <c r="AD25" i="2" s="1"/>
  <c r="AH25" i="2" s="1"/>
  <c r="AE25" i="2"/>
  <c r="AE26" i="2"/>
  <c r="AH26" i="2" s="1"/>
  <c r="AF22" i="2"/>
  <c r="AD22" i="2" s="1"/>
  <c r="AF12" i="2"/>
  <c r="AE12" i="2" s="1"/>
  <c r="AD12" i="2"/>
  <c r="AC12" i="2" s="1"/>
  <c r="AG12" i="2" s="1"/>
  <c r="D26" i="2" s="1"/>
  <c r="AH12" i="2"/>
  <c r="AJ12" i="2" s="1"/>
  <c r="E26" i="2" s="1"/>
  <c r="AI12" i="2"/>
  <c r="AF13" i="2"/>
  <c r="AD13" i="2"/>
  <c r="AE13" i="2"/>
  <c r="C43" i="2" s="1"/>
  <c r="AF14" i="2"/>
  <c r="AD14" i="2"/>
  <c r="AE14" i="2"/>
  <c r="AH14" i="2"/>
  <c r="AI14" i="2" s="1"/>
  <c r="AJ14" i="2"/>
  <c r="E28" i="2" s="1"/>
  <c r="AE15" i="2"/>
  <c r="AH15" i="2" s="1"/>
  <c r="AI15" i="2"/>
  <c r="AJ15" i="2"/>
  <c r="E29" i="2" s="1"/>
  <c r="AF11" i="2"/>
  <c r="AD11" i="2"/>
  <c r="AH11" i="2" s="1"/>
  <c r="AE11" i="2"/>
  <c r="C41" i="2" s="1"/>
  <c r="AC69" i="2"/>
  <c r="AG69" i="2" s="1"/>
  <c r="S28" i="2" s="1"/>
  <c r="AC67" i="2"/>
  <c r="AC55" i="2"/>
  <c r="AC47" i="2"/>
  <c r="AC36" i="2"/>
  <c r="AC34" i="2"/>
  <c r="AC33" i="2"/>
  <c r="AC25" i="2"/>
  <c r="AG25" i="2" s="1"/>
  <c r="G28" i="2" s="1"/>
  <c r="AC14" i="2"/>
  <c r="AC13" i="2"/>
  <c r="AG13" i="2" s="1"/>
  <c r="D27" i="2" s="1"/>
  <c r="AG59" i="2"/>
  <c r="P29" i="2" s="1"/>
  <c r="AG48" i="2"/>
  <c r="AG37" i="2"/>
  <c r="AG26" i="2"/>
  <c r="G29" i="2" s="1"/>
  <c r="AG15" i="2"/>
  <c r="D29" i="2" s="1"/>
  <c r="R29" i="2"/>
  <c r="O29" i="2"/>
  <c r="M29" i="2"/>
  <c r="L29" i="2"/>
  <c r="J29" i="2"/>
  <c r="I29" i="2"/>
  <c r="F29" i="2"/>
  <c r="C29" i="2"/>
  <c r="R45" i="2"/>
  <c r="O45" i="2"/>
  <c r="L45" i="2"/>
  <c r="I45" i="2"/>
  <c r="C45" i="2"/>
  <c r="AG67" i="2"/>
  <c r="S26" i="2"/>
  <c r="AG68" i="2"/>
  <c r="S27" i="2"/>
  <c r="AG57" i="2"/>
  <c r="P27" i="2"/>
  <c r="AG46" i="2"/>
  <c r="M27" i="2"/>
  <c r="AG47" i="2"/>
  <c r="M28" i="2"/>
  <c r="AG34" i="2"/>
  <c r="J26" i="2"/>
  <c r="AG36" i="2"/>
  <c r="J28" i="2"/>
  <c r="AG24" i="2"/>
  <c r="G27" i="2"/>
  <c r="R28" i="2"/>
  <c r="R27" i="2"/>
  <c r="O27" i="2"/>
  <c r="L28" i="2"/>
  <c r="L27" i="2"/>
  <c r="I28" i="2"/>
  <c r="I27" i="2"/>
  <c r="F28" i="2"/>
  <c r="F27" i="2"/>
  <c r="R43" i="2"/>
  <c r="R44" i="2"/>
  <c r="L43" i="2"/>
  <c r="L44" i="2"/>
  <c r="I44" i="2"/>
  <c r="I41" i="2"/>
  <c r="F43" i="2"/>
  <c r="F44" i="2"/>
  <c r="C44" i="2"/>
  <c r="C42" i="2"/>
  <c r="R26" i="2"/>
  <c r="AG55" i="2"/>
  <c r="P25" i="2" s="1"/>
  <c r="O25" i="2"/>
  <c r="L25" i="2"/>
  <c r="I26" i="2"/>
  <c r="AG33" i="2"/>
  <c r="J25" i="2"/>
  <c r="I25" i="2"/>
  <c r="F26" i="2"/>
  <c r="C28" i="2"/>
  <c r="C27" i="2"/>
  <c r="C26" i="2"/>
  <c r="C25" i="2"/>
  <c r="AG14" i="2"/>
  <c r="D28" i="2"/>
  <c r="AC44" i="2" l="1"/>
  <c r="AG44" i="2" s="1"/>
  <c r="M25" i="2" s="1"/>
  <c r="AH45" i="2"/>
  <c r="AC66" i="2"/>
  <c r="AG66" i="2" s="1"/>
  <c r="S25" i="2" s="1"/>
  <c r="AI25" i="2"/>
  <c r="AJ25" i="2" s="1"/>
  <c r="H28" i="2" s="1"/>
  <c r="AI26" i="2"/>
  <c r="AJ26" i="2"/>
  <c r="H29" i="2" s="1"/>
  <c r="AI11" i="2"/>
  <c r="AJ11" i="2"/>
  <c r="E25" i="2" s="1"/>
  <c r="AI34" i="2"/>
  <c r="AJ34" i="2"/>
  <c r="K26" i="2" s="1"/>
  <c r="AI55" i="2"/>
  <c r="AJ55" i="2"/>
  <c r="Q25" i="2" s="1"/>
  <c r="AC56" i="2"/>
  <c r="AG56" i="2" s="1"/>
  <c r="P26" i="2" s="1"/>
  <c r="AH46" i="3"/>
  <c r="J36" i="5"/>
  <c r="AJ38" i="5"/>
  <c r="O28" i="2"/>
  <c r="AC45" i="2"/>
  <c r="AG45" i="2" s="1"/>
  <c r="M26" i="2" s="1"/>
  <c r="AC58" i="2"/>
  <c r="AG58" i="2" s="1"/>
  <c r="P28" i="2" s="1"/>
  <c r="AH13" i="2"/>
  <c r="AJ37" i="2"/>
  <c r="K29" i="2" s="1"/>
  <c r="AH47" i="2"/>
  <c r="AH67" i="2"/>
  <c r="AH24" i="3"/>
  <c r="AI35" i="3"/>
  <c r="AJ35" i="3"/>
  <c r="K27" i="3" s="1"/>
  <c r="AC48" i="3"/>
  <c r="AG48" i="3" s="1"/>
  <c r="M29" i="3" s="1"/>
  <c r="AH48" i="3"/>
  <c r="AD70" i="3"/>
  <c r="AE70" i="3"/>
  <c r="R45" i="3" s="1"/>
  <c r="N36" i="5"/>
  <c r="L36" i="5"/>
  <c r="AI50" i="5"/>
  <c r="M36" i="5" s="1"/>
  <c r="F53" i="1"/>
  <c r="AF24" i="1"/>
  <c r="F37" i="1" s="1"/>
  <c r="AI34" i="1"/>
  <c r="AJ34" i="1" s="1"/>
  <c r="K36" i="1" s="1"/>
  <c r="AI58" i="1"/>
  <c r="AJ58" i="1" s="1"/>
  <c r="Q38" i="1" s="1"/>
  <c r="AJ69" i="2"/>
  <c r="T28" i="2" s="1"/>
  <c r="AI67" i="3"/>
  <c r="AJ67" i="3"/>
  <c r="T26" i="3" s="1"/>
  <c r="L26" i="2"/>
  <c r="F25" i="2"/>
  <c r="AC11" i="2"/>
  <c r="AG11" i="2" s="1"/>
  <c r="D25" i="2" s="1"/>
  <c r="AC22" i="2"/>
  <c r="AG22" i="2" s="1"/>
  <c r="G25" i="2" s="1"/>
  <c r="AJ33" i="2"/>
  <c r="K25" i="2" s="1"/>
  <c r="AH35" i="2"/>
  <c r="AE44" i="2"/>
  <c r="L41" i="2" s="1"/>
  <c r="AE66" i="2"/>
  <c r="R41" i="2" s="1"/>
  <c r="AE56" i="2"/>
  <c r="O42" i="2" s="1"/>
  <c r="AC24" i="3"/>
  <c r="AG24" i="3" s="1"/>
  <c r="G27" i="3" s="1"/>
  <c r="AC58" i="3"/>
  <c r="AG58" i="3" s="1"/>
  <c r="P28" i="3" s="1"/>
  <c r="AH23" i="2"/>
  <c r="O26" i="2"/>
  <c r="R25" i="2"/>
  <c r="F45" i="2"/>
  <c r="AC23" i="2"/>
  <c r="AG23" i="2" s="1"/>
  <c r="G26" i="2" s="1"/>
  <c r="AE22" i="2"/>
  <c r="F41" i="2" s="1"/>
  <c r="AJ24" i="2"/>
  <c r="H27" i="2" s="1"/>
  <c r="AE35" i="2"/>
  <c r="I43" i="2" s="1"/>
  <c r="AE45" i="2"/>
  <c r="L42" i="2" s="1"/>
  <c r="AH70" i="2"/>
  <c r="AI69" i="2"/>
  <c r="AE58" i="2"/>
  <c r="O44" i="2" s="1"/>
  <c r="AH57" i="2"/>
  <c r="AH14" i="3"/>
  <c r="AC14" i="3"/>
  <c r="AG14" i="3" s="1"/>
  <c r="D28" i="3" s="1"/>
  <c r="AH34" i="3"/>
  <c r="AC34" i="3"/>
  <c r="AG34" i="3" s="1"/>
  <c r="J26" i="3" s="1"/>
  <c r="AH55" i="3"/>
  <c r="AC55" i="3"/>
  <c r="AG55" i="3" s="1"/>
  <c r="P25" i="3" s="1"/>
  <c r="AD45" i="3"/>
  <c r="AE45" i="3"/>
  <c r="L42" i="3" s="1"/>
  <c r="AD66" i="3"/>
  <c r="AE66" i="3"/>
  <c r="R41" i="3" s="1"/>
  <c r="R25" i="3"/>
  <c r="AH69" i="3"/>
  <c r="AC69" i="3"/>
  <c r="AG69" i="3" s="1"/>
  <c r="S28" i="3" s="1"/>
  <c r="AI15" i="1"/>
  <c r="AJ15" i="1"/>
  <c r="E39" i="1" s="1"/>
  <c r="AD12" i="3"/>
  <c r="AE12" i="3"/>
  <c r="C42" i="3" s="1"/>
  <c r="AD22" i="3"/>
  <c r="AE22" i="3"/>
  <c r="F41" i="3" s="1"/>
  <c r="AD26" i="3"/>
  <c r="AE26" i="3"/>
  <c r="F45" i="3" s="1"/>
  <c r="AD57" i="3"/>
  <c r="AE57" i="3"/>
  <c r="O43" i="3" s="1"/>
  <c r="AC44" i="3"/>
  <c r="AG44" i="3" s="1"/>
  <c r="M25" i="3" s="1"/>
  <c r="AH44" i="3"/>
  <c r="AH47" i="3"/>
  <c r="AC47" i="3"/>
  <c r="AG47" i="3" s="1"/>
  <c r="M28" i="3" s="1"/>
  <c r="AH68" i="3"/>
  <c r="AC68" i="3"/>
  <c r="AG68" i="3" s="1"/>
  <c r="S27" i="3" s="1"/>
  <c r="AH73" i="5"/>
  <c r="AH22" i="1"/>
  <c r="AC22" i="1"/>
  <c r="AG22" i="1" s="1"/>
  <c r="G35" i="1" s="1"/>
  <c r="AI33" i="1"/>
  <c r="AJ33" i="1" s="1"/>
  <c r="K35" i="1" s="1"/>
  <c r="AH11" i="3"/>
  <c r="AI13" i="3"/>
  <c r="AJ13" i="3"/>
  <c r="E27" i="3" s="1"/>
  <c r="AC15" i="3"/>
  <c r="AG15" i="3" s="1"/>
  <c r="D29" i="3" s="1"/>
  <c r="AH15" i="3"/>
  <c r="AI23" i="3"/>
  <c r="AJ23" i="3"/>
  <c r="H26" i="3" s="1"/>
  <c r="AH25" i="3"/>
  <c r="AI33" i="3"/>
  <c r="AJ33" i="3" s="1"/>
  <c r="K25" i="3" s="1"/>
  <c r="AD36" i="3"/>
  <c r="AE36" i="3"/>
  <c r="I44" i="3" s="1"/>
  <c r="AC59" i="3"/>
  <c r="AG59" i="3" s="1"/>
  <c r="P29" i="3" s="1"/>
  <c r="AH59" i="3"/>
  <c r="AI25" i="5"/>
  <c r="AJ25" i="5" s="1"/>
  <c r="AJ47" i="5"/>
  <c r="AI47" i="5"/>
  <c r="AH35" i="5"/>
  <c r="AC35" i="5"/>
  <c r="AC39" i="5"/>
  <c r="AH39" i="5"/>
  <c r="AH49" i="5"/>
  <c r="AC49" i="5"/>
  <c r="AH59" i="5"/>
  <c r="AC59" i="5"/>
  <c r="AH63" i="5"/>
  <c r="AC63" i="5"/>
  <c r="E38" i="5"/>
  <c r="AG16" i="5"/>
  <c r="D38" i="5" s="1"/>
  <c r="AF37" i="5"/>
  <c r="AG37" i="5" s="1"/>
  <c r="AH37" i="5"/>
  <c r="L50" i="5"/>
  <c r="AF47" i="5"/>
  <c r="O53" i="5"/>
  <c r="AF63" i="5"/>
  <c r="AF71" i="5"/>
  <c r="R50" i="5"/>
  <c r="AH71" i="5"/>
  <c r="AI46" i="1"/>
  <c r="AJ46" i="1"/>
  <c r="N37" i="1" s="1"/>
  <c r="AI70" i="1"/>
  <c r="AJ70" i="1"/>
  <c r="T39" i="1" s="1"/>
  <c r="AE37" i="3"/>
  <c r="AE58" i="3"/>
  <c r="O44" i="3" s="1"/>
  <c r="AE46" i="3"/>
  <c r="L43" i="3" s="1"/>
  <c r="C34" i="5"/>
  <c r="L35" i="5"/>
  <c r="L37" i="5"/>
  <c r="Q36" i="5"/>
  <c r="O36" i="5"/>
  <c r="T38" i="5"/>
  <c r="AG76" i="5"/>
  <c r="S38" i="5"/>
  <c r="S35" i="5"/>
  <c r="T35" i="5"/>
  <c r="R35" i="5"/>
  <c r="AG72" i="5"/>
  <c r="AI26" i="1"/>
  <c r="AJ26" i="1" s="1"/>
  <c r="H39" i="1" s="1"/>
  <c r="AH24" i="1"/>
  <c r="AH44" i="1"/>
  <c r="AC44" i="1"/>
  <c r="AG44" i="1" s="1"/>
  <c r="M35" i="1" s="1"/>
  <c r="AC45" i="1"/>
  <c r="AG45" i="1" s="1"/>
  <c r="M36" i="1" s="1"/>
  <c r="AH45" i="1"/>
  <c r="AH69" i="1"/>
  <c r="AC69" i="1"/>
  <c r="AG69" i="1" s="1"/>
  <c r="S38" i="1" s="1"/>
  <c r="C54" i="1"/>
  <c r="AH14" i="1"/>
  <c r="Q34" i="5"/>
  <c r="O34" i="5"/>
  <c r="E36" i="5"/>
  <c r="S37" i="5"/>
  <c r="T37" i="5"/>
  <c r="R37" i="5"/>
  <c r="AG75" i="5"/>
  <c r="AI36" i="1"/>
  <c r="AJ36" i="1" s="1"/>
  <c r="K38" i="1" s="1"/>
  <c r="AI48" i="1"/>
  <c r="AJ48" i="1" s="1"/>
  <c r="N39" i="1" s="1"/>
  <c r="AI55" i="1"/>
  <c r="AJ55" i="1" s="1"/>
  <c r="Q35" i="1" s="1"/>
  <c r="AI56" i="1"/>
  <c r="AJ56" i="1" s="1"/>
  <c r="Q36" i="1" s="1"/>
  <c r="AI68" i="1"/>
  <c r="AJ68" i="1" s="1"/>
  <c r="T37" i="1" s="1"/>
  <c r="AC37" i="1"/>
  <c r="AG37" i="1" s="1"/>
  <c r="J39" i="1" s="1"/>
  <c r="C53" i="5"/>
  <c r="AH15" i="5"/>
  <c r="AF15" i="5"/>
  <c r="O38" i="5"/>
  <c r="Q38" i="5"/>
  <c r="AG64" i="5"/>
  <c r="Q35" i="5"/>
  <c r="AG74" i="5"/>
  <c r="S36" i="5" s="1"/>
  <c r="AJ23" i="1"/>
  <c r="H36" i="1" s="1"/>
  <c r="AH11" i="1"/>
  <c r="AC11" i="1"/>
  <c r="AG11" i="1" s="1"/>
  <c r="D35" i="1" s="1"/>
  <c r="AH12" i="1"/>
  <c r="AC12" i="1"/>
  <c r="AG12" i="1" s="1"/>
  <c r="D36" i="1" s="1"/>
  <c r="AJ37" i="1"/>
  <c r="K39" i="1" s="1"/>
  <c r="AH47" i="1"/>
  <c r="AC47" i="1"/>
  <c r="AG47" i="1" s="1"/>
  <c r="M38" i="1" s="1"/>
  <c r="AC59" i="1"/>
  <c r="AG59" i="1" s="1"/>
  <c r="P39" i="1" s="1"/>
  <c r="AH59" i="1"/>
  <c r="AJ57" i="1"/>
  <c r="Q37" i="1" s="1"/>
  <c r="AH66" i="1"/>
  <c r="AC66" i="1"/>
  <c r="AG66" i="1" s="1"/>
  <c r="S35" i="1" s="1"/>
  <c r="AC67" i="1"/>
  <c r="AG67" i="1" s="1"/>
  <c r="S36" i="1" s="1"/>
  <c r="AH67" i="1"/>
  <c r="AI67" i="1" l="1"/>
  <c r="AJ67" i="1"/>
  <c r="T36" i="1" s="1"/>
  <c r="AI47" i="1"/>
  <c r="AJ47" i="1"/>
  <c r="N38" i="1" s="1"/>
  <c r="AI71" i="5"/>
  <c r="AJ71" i="5"/>
  <c r="AI63" i="5"/>
  <c r="AJ63" i="5"/>
  <c r="AI14" i="3"/>
  <c r="AJ14" i="3"/>
  <c r="E28" i="3" s="1"/>
  <c r="AI45" i="2"/>
  <c r="AJ45" i="2" s="1"/>
  <c r="N26" i="2" s="1"/>
  <c r="AI59" i="1"/>
  <c r="AJ59" i="1"/>
  <c r="Q39" i="1" s="1"/>
  <c r="AI11" i="1"/>
  <c r="AJ11" i="1"/>
  <c r="E35" i="1" s="1"/>
  <c r="E37" i="5"/>
  <c r="C37" i="5"/>
  <c r="AG15" i="5"/>
  <c r="D37" i="5" s="1"/>
  <c r="AI69" i="1"/>
  <c r="AJ69" i="1"/>
  <c r="T38" i="1" s="1"/>
  <c r="AI44" i="1"/>
  <c r="AJ44" i="1"/>
  <c r="N35" i="1" s="1"/>
  <c r="N34" i="5"/>
  <c r="L34" i="5"/>
  <c r="AG47" i="5"/>
  <c r="M34" i="5"/>
  <c r="AI39" i="5"/>
  <c r="AJ39" i="5" s="1"/>
  <c r="J37" i="5"/>
  <c r="K37" i="5"/>
  <c r="I37" i="5"/>
  <c r="AI59" i="3"/>
  <c r="AJ59" i="3" s="1"/>
  <c r="Q29" i="3" s="1"/>
  <c r="AI68" i="3"/>
  <c r="AJ68" i="3" s="1"/>
  <c r="T27" i="3" s="1"/>
  <c r="AC26" i="3"/>
  <c r="AG26" i="3" s="1"/>
  <c r="G29" i="3" s="1"/>
  <c r="AH26" i="3"/>
  <c r="AH12" i="3"/>
  <c r="AC12" i="3"/>
  <c r="AG12" i="3" s="1"/>
  <c r="D26" i="3" s="1"/>
  <c r="AI69" i="3"/>
  <c r="AJ69" i="3" s="1"/>
  <c r="T28" i="3" s="1"/>
  <c r="AI57" i="2"/>
  <c r="AJ57" i="2" s="1"/>
  <c r="Q27" i="2" s="1"/>
  <c r="AI23" i="2"/>
  <c r="AJ23" i="2" s="1"/>
  <c r="H26" i="2" s="1"/>
  <c r="AJ50" i="5"/>
  <c r="AC70" i="3"/>
  <c r="AG70" i="3" s="1"/>
  <c r="S29" i="3" s="1"/>
  <c r="AH70" i="3"/>
  <c r="AI49" i="5"/>
  <c r="AJ49" i="5"/>
  <c r="AI44" i="3"/>
  <c r="AJ44" i="3"/>
  <c r="N25" i="3" s="1"/>
  <c r="AI55" i="3"/>
  <c r="AJ55" i="3"/>
  <c r="Q25" i="3" s="1"/>
  <c r="AI70" i="2"/>
  <c r="AJ70" i="2"/>
  <c r="T29" i="2" s="1"/>
  <c r="AI35" i="2"/>
  <c r="AJ35" i="2" s="1"/>
  <c r="K27" i="2" s="1"/>
  <c r="AI47" i="2"/>
  <c r="AJ47" i="2"/>
  <c r="N28" i="2" s="1"/>
  <c r="AI15" i="5"/>
  <c r="AJ15" i="5"/>
  <c r="AI45" i="1"/>
  <c r="AJ45" i="1"/>
  <c r="N36" i="1" s="1"/>
  <c r="AI24" i="1"/>
  <c r="AJ24" i="1"/>
  <c r="H37" i="1" s="1"/>
  <c r="AG71" i="5"/>
  <c r="S34" i="5"/>
  <c r="T34" i="5"/>
  <c r="R34" i="5"/>
  <c r="AI59" i="5"/>
  <c r="AJ59" i="5" s="1"/>
  <c r="P34" i="5"/>
  <c r="AI15" i="3"/>
  <c r="AJ15" i="3" s="1"/>
  <c r="E29" i="3" s="1"/>
  <c r="AI11" i="3"/>
  <c r="AJ11" i="3" s="1"/>
  <c r="E25" i="3" s="1"/>
  <c r="AI22" i="1"/>
  <c r="AJ22" i="1" s="1"/>
  <c r="H35" i="1" s="1"/>
  <c r="AH45" i="3"/>
  <c r="AC45" i="3"/>
  <c r="AG45" i="3" s="1"/>
  <c r="M26" i="3" s="1"/>
  <c r="AI34" i="3"/>
  <c r="AJ34" i="3" s="1"/>
  <c r="K26" i="3" s="1"/>
  <c r="AH58" i="3"/>
  <c r="AI48" i="3"/>
  <c r="AJ48" i="3"/>
  <c r="N29" i="3" s="1"/>
  <c r="AI24" i="3"/>
  <c r="AJ24" i="3"/>
  <c r="H27" i="3" s="1"/>
  <c r="AI13" i="2"/>
  <c r="AJ13" i="2"/>
  <c r="E27" i="2" s="1"/>
  <c r="AH56" i="2"/>
  <c r="AH44" i="2"/>
  <c r="J34" i="5"/>
  <c r="K34" i="5"/>
  <c r="I34" i="5"/>
  <c r="AI35" i="5"/>
  <c r="AJ35" i="5" s="1"/>
  <c r="AH36" i="3"/>
  <c r="AC36" i="3"/>
  <c r="AG36" i="3" s="1"/>
  <c r="J28" i="3" s="1"/>
  <c r="AC66" i="3"/>
  <c r="AG66" i="3" s="1"/>
  <c r="S25" i="3" s="1"/>
  <c r="AH66" i="3"/>
  <c r="AI46" i="3"/>
  <c r="AJ46" i="3" s="1"/>
  <c r="N27" i="3" s="1"/>
  <c r="AI14" i="1"/>
  <c r="AJ14" i="1" s="1"/>
  <c r="E38" i="1" s="1"/>
  <c r="AI66" i="1"/>
  <c r="AJ66" i="1" s="1"/>
  <c r="T35" i="1" s="1"/>
  <c r="AI12" i="1"/>
  <c r="AJ12" i="1" s="1"/>
  <c r="E36" i="1" s="1"/>
  <c r="I45" i="3"/>
  <c r="AH37" i="3"/>
  <c r="P37" i="5"/>
  <c r="Q37" i="5"/>
  <c r="O37" i="5"/>
  <c r="AG63" i="5"/>
  <c r="AI37" i="5"/>
  <c r="AJ37" i="5" s="1"/>
  <c r="AI25" i="3"/>
  <c r="AJ25" i="3" s="1"/>
  <c r="H28" i="3" s="1"/>
  <c r="AI73" i="5"/>
  <c r="AJ73" i="5"/>
  <c r="AI47" i="3"/>
  <c r="AJ47" i="3" s="1"/>
  <c r="N28" i="3" s="1"/>
  <c r="AH57" i="3"/>
  <c r="AC57" i="3"/>
  <c r="AG57" i="3" s="1"/>
  <c r="P27" i="3" s="1"/>
  <c r="AH22" i="3"/>
  <c r="AC22" i="3"/>
  <c r="AG22" i="3" s="1"/>
  <c r="G25" i="3" s="1"/>
  <c r="AI67" i="2"/>
  <c r="AJ67" i="2"/>
  <c r="T26" i="2" s="1"/>
  <c r="AH58" i="2"/>
  <c r="AH66" i="2"/>
  <c r="AH22" i="2"/>
  <c r="AI58" i="2" l="1"/>
  <c r="AJ58" i="2" s="1"/>
  <c r="Q28" i="2" s="1"/>
  <c r="AI66" i="3"/>
  <c r="AJ66" i="3" s="1"/>
  <c r="T25" i="3" s="1"/>
  <c r="AI26" i="3"/>
  <c r="AJ26" i="3" s="1"/>
  <c r="H29" i="3" s="1"/>
  <c r="AI22" i="2"/>
  <c r="AJ22" i="2" s="1"/>
  <c r="H25" i="2" s="1"/>
  <c r="AI44" i="2"/>
  <c r="AJ44" i="2" s="1"/>
  <c r="N25" i="2" s="1"/>
  <c r="AI58" i="3"/>
  <c r="AJ58" i="3"/>
  <c r="Q28" i="3" s="1"/>
  <c r="AI45" i="3"/>
  <c r="AJ45" i="3" s="1"/>
  <c r="N26" i="3" s="1"/>
  <c r="AI70" i="3"/>
  <c r="AJ70" i="3" s="1"/>
  <c r="T29" i="3" s="1"/>
  <c r="AI22" i="3"/>
  <c r="AJ22" i="3" s="1"/>
  <c r="H25" i="3" s="1"/>
  <c r="AI36" i="3"/>
  <c r="AJ36" i="3" s="1"/>
  <c r="K28" i="3" s="1"/>
  <c r="AI12" i="3"/>
  <c r="AJ12" i="3" s="1"/>
  <c r="E26" i="3" s="1"/>
  <c r="AI57" i="3"/>
  <c r="AJ57" i="3" s="1"/>
  <c r="Q27" i="3" s="1"/>
  <c r="AI66" i="2"/>
  <c r="AJ66" i="2" s="1"/>
  <c r="T25" i="2" s="1"/>
  <c r="AI37" i="3"/>
  <c r="AJ37" i="3"/>
  <c r="K29" i="3" s="1"/>
  <c r="AI56" i="2"/>
  <c r="AJ56" i="2"/>
  <c r="Q26" i="2" s="1"/>
</calcChain>
</file>

<file path=xl/comments1.xml><?xml version="1.0" encoding="utf-8"?>
<comments xmlns="http://schemas.openxmlformats.org/spreadsheetml/2006/main">
  <authors>
    <author>Rocky Hilburn</author>
  </authors>
  <commentList>
    <comment ref="AJ8" authorId="0" shapeId="0">
      <text>
        <r>
          <rPr>
            <b/>
            <sz val="11"/>
            <color indexed="81"/>
            <rFont val="Tahoma"/>
          </rPr>
          <t>Rocky Hilburn:</t>
        </r>
        <r>
          <rPr>
            <sz val="11"/>
            <color indexed="81"/>
            <rFont val="Tahoma"/>
          </rPr>
          <t xml:space="preserve">
Based on Power</t>
        </r>
      </text>
    </comment>
  </commentList>
</comments>
</file>

<file path=xl/sharedStrings.xml><?xml version="1.0" encoding="utf-8"?>
<sst xmlns="http://schemas.openxmlformats.org/spreadsheetml/2006/main" count="1150" uniqueCount="146">
  <si>
    <t>R1</t>
  </si>
  <si>
    <t>R2</t>
  </si>
  <si>
    <t>R3</t>
  </si>
  <si>
    <t>R4</t>
  </si>
  <si>
    <t>R5</t>
  </si>
  <si>
    <t>R6</t>
  </si>
  <si>
    <t>Table 1</t>
  </si>
  <si>
    <t>Sheet Resistivity</t>
  </si>
  <si>
    <t>Table 2</t>
  </si>
  <si>
    <r>
      <t>R</t>
    </r>
    <r>
      <rPr>
        <b/>
        <i/>
        <vertAlign val="subscript"/>
        <sz val="10"/>
        <rFont val="Arial"/>
        <family val="2"/>
      </rPr>
      <t>1</t>
    </r>
  </si>
  <si>
    <r>
      <t>R</t>
    </r>
    <r>
      <rPr>
        <b/>
        <i/>
        <vertAlign val="subscript"/>
        <sz val="10"/>
        <rFont val="Arial"/>
        <family val="2"/>
      </rPr>
      <t>2</t>
    </r>
  </si>
  <si>
    <r>
      <t>R</t>
    </r>
    <r>
      <rPr>
        <b/>
        <i/>
        <vertAlign val="subscript"/>
        <sz val="10"/>
        <rFont val="Arial"/>
        <family val="2"/>
      </rPr>
      <t>3</t>
    </r>
  </si>
  <si>
    <r>
      <t>R</t>
    </r>
    <r>
      <rPr>
        <b/>
        <i/>
        <vertAlign val="subscript"/>
        <sz val="10"/>
        <rFont val="Arial"/>
        <family val="2"/>
      </rPr>
      <t>4</t>
    </r>
  </si>
  <si>
    <r>
      <t>R</t>
    </r>
    <r>
      <rPr>
        <b/>
        <i/>
        <vertAlign val="subscript"/>
        <sz val="10"/>
        <rFont val="Arial"/>
        <family val="2"/>
      </rPr>
      <t>5</t>
    </r>
  </si>
  <si>
    <r>
      <t>R</t>
    </r>
    <r>
      <rPr>
        <b/>
        <i/>
        <vertAlign val="subscript"/>
        <sz val="10"/>
        <rFont val="Arial"/>
        <family val="2"/>
      </rPr>
      <t>6</t>
    </r>
  </si>
  <si>
    <t>C-Recommended resistor configuration (Table 3)</t>
  </si>
  <si>
    <t>Table 3</t>
  </si>
  <si>
    <t>Step 3:  Resistor patterns are configured to optimize the footprint of the resistor</t>
  </si>
  <si>
    <t>Rs</t>
  </si>
  <si>
    <r>
      <t>P</t>
    </r>
    <r>
      <rPr>
        <b/>
        <vertAlign val="subscript"/>
        <sz val="10"/>
        <rFont val="Arial"/>
        <family val="2"/>
      </rPr>
      <t>R</t>
    </r>
  </si>
  <si>
    <r>
      <t>T</t>
    </r>
    <r>
      <rPr>
        <b/>
        <vertAlign val="subscript"/>
        <sz val="10"/>
        <rFont val="Arial"/>
        <family val="2"/>
      </rPr>
      <t>T</t>
    </r>
  </si>
  <si>
    <t>Selection</t>
  </si>
  <si>
    <t>Sheet</t>
  </si>
  <si>
    <t>Power</t>
  </si>
  <si>
    <t>Number of</t>
  </si>
  <si>
    <t>Design</t>
  </si>
  <si>
    <t>Total</t>
  </si>
  <si>
    <t>Rating</t>
  </si>
  <si>
    <t>Square</t>
  </si>
  <si>
    <t>Width</t>
  </si>
  <si>
    <t>Length</t>
  </si>
  <si>
    <t>Tolerance</t>
  </si>
  <si>
    <t>Ohm/Sq.</t>
  </si>
  <si>
    <r>
      <t>mW</t>
    </r>
    <r>
      <rPr>
        <b/>
        <sz val="10"/>
        <rFont val="Arial"/>
      </rPr>
      <t>/</t>
    </r>
    <r>
      <rPr>
        <sz val="10"/>
        <rFont val="Arial"/>
      </rPr>
      <t>mil</t>
    </r>
    <r>
      <rPr>
        <vertAlign val="superscript"/>
        <sz val="10"/>
        <rFont val="Arial"/>
        <family val="2"/>
      </rPr>
      <t>2</t>
    </r>
  </si>
  <si>
    <r>
      <t>mil</t>
    </r>
    <r>
      <rPr>
        <vertAlign val="superscript"/>
        <sz val="10"/>
        <rFont val="Arial"/>
        <family val="2"/>
      </rPr>
      <t>2</t>
    </r>
  </si>
  <si>
    <t>mil</t>
  </si>
  <si>
    <t>%</t>
  </si>
  <si>
    <r>
      <t>R</t>
    </r>
    <r>
      <rPr>
        <sz val="10"/>
        <rFont val="Arial"/>
        <family val="2"/>
      </rPr>
      <t>s</t>
    </r>
  </si>
  <si>
    <t>A</t>
  </si>
  <si>
    <t>Resistivity</t>
  </si>
  <si>
    <t>Resistor Area</t>
  </si>
  <si>
    <t>n</t>
  </si>
  <si>
    <t>DesW</t>
  </si>
  <si>
    <t>DesL</t>
  </si>
  <si>
    <t>Length (mils)</t>
  </si>
  <si>
    <t>Width (mils)</t>
  </si>
  <si>
    <t>Res</t>
  </si>
  <si>
    <t>Resistor</t>
  </si>
  <si>
    <t>Value</t>
  </si>
  <si>
    <t>ohms</t>
  </si>
  <si>
    <t>PowD</t>
  </si>
  <si>
    <t>Dissipation</t>
  </si>
  <si>
    <t>mWatts</t>
  </si>
  <si>
    <t>Ohms</t>
  </si>
  <si>
    <r>
      <t>PD</t>
    </r>
    <r>
      <rPr>
        <b/>
        <i/>
        <vertAlign val="subscript"/>
        <sz val="10"/>
        <rFont val="Arial"/>
        <family val="2"/>
      </rPr>
      <t>1</t>
    </r>
  </si>
  <si>
    <t>mW</t>
  </si>
  <si>
    <r>
      <t>Res</t>
    </r>
    <r>
      <rPr>
        <b/>
        <i/>
        <vertAlign val="subscript"/>
        <sz val="10"/>
        <rFont val="Arial"/>
        <family val="2"/>
      </rPr>
      <t>1</t>
    </r>
  </si>
  <si>
    <r>
      <t>Res</t>
    </r>
    <r>
      <rPr>
        <b/>
        <i/>
        <vertAlign val="subscript"/>
        <sz val="10"/>
        <rFont val="Arial"/>
        <family val="2"/>
      </rPr>
      <t>2</t>
    </r>
  </si>
  <si>
    <r>
      <t>PD</t>
    </r>
    <r>
      <rPr>
        <b/>
        <i/>
        <vertAlign val="subscript"/>
        <sz val="10"/>
        <rFont val="Arial"/>
        <family val="2"/>
      </rPr>
      <t>2</t>
    </r>
  </si>
  <si>
    <r>
      <t>Res</t>
    </r>
    <r>
      <rPr>
        <b/>
        <i/>
        <vertAlign val="subscript"/>
        <sz val="10"/>
        <rFont val="Arial"/>
        <family val="2"/>
      </rPr>
      <t>3</t>
    </r>
  </si>
  <si>
    <r>
      <t>PD</t>
    </r>
    <r>
      <rPr>
        <b/>
        <i/>
        <vertAlign val="subscript"/>
        <sz val="10"/>
        <rFont val="Arial"/>
        <family val="2"/>
      </rPr>
      <t>3</t>
    </r>
  </si>
  <si>
    <r>
      <t>Res</t>
    </r>
    <r>
      <rPr>
        <b/>
        <i/>
        <vertAlign val="subscript"/>
        <sz val="10"/>
        <rFont val="Arial"/>
        <family val="2"/>
      </rPr>
      <t>4</t>
    </r>
  </si>
  <si>
    <r>
      <t>PD</t>
    </r>
    <r>
      <rPr>
        <b/>
        <i/>
        <vertAlign val="subscript"/>
        <sz val="10"/>
        <rFont val="Arial"/>
        <family val="2"/>
      </rPr>
      <t>4</t>
    </r>
  </si>
  <si>
    <r>
      <t>Res</t>
    </r>
    <r>
      <rPr>
        <b/>
        <i/>
        <vertAlign val="subscript"/>
        <sz val="10"/>
        <rFont val="Arial"/>
        <family val="2"/>
      </rPr>
      <t>5</t>
    </r>
  </si>
  <si>
    <r>
      <t>PD</t>
    </r>
    <r>
      <rPr>
        <b/>
        <i/>
        <vertAlign val="subscript"/>
        <sz val="10"/>
        <rFont val="Arial"/>
        <family val="2"/>
      </rPr>
      <t>5</t>
    </r>
  </si>
  <si>
    <r>
      <t>Res</t>
    </r>
    <r>
      <rPr>
        <b/>
        <i/>
        <vertAlign val="subscript"/>
        <sz val="10"/>
        <rFont val="Arial"/>
        <family val="2"/>
      </rPr>
      <t>6</t>
    </r>
  </si>
  <si>
    <r>
      <t>PD</t>
    </r>
    <r>
      <rPr>
        <b/>
        <i/>
        <vertAlign val="subscript"/>
        <sz val="10"/>
        <rFont val="Arial"/>
        <family val="2"/>
      </rPr>
      <t>6</t>
    </r>
  </si>
  <si>
    <r>
      <t xml:space="preserve">and the width </t>
    </r>
    <r>
      <rPr>
        <b/>
        <i/>
        <sz val="10"/>
        <rFont val="Arial"/>
        <family val="2"/>
      </rPr>
      <t>(W)</t>
    </r>
    <r>
      <rPr>
        <sz val="10"/>
        <rFont val="Arial"/>
      </rPr>
      <t xml:space="preserve"> in mils.</t>
    </r>
  </si>
  <si>
    <t xml:space="preserve">             based on sheet resistivity, resistor length and width.</t>
  </si>
  <si>
    <t xml:space="preserve">             Review for acceptability for each sheet resistivity against applicable design rules.</t>
  </si>
  <si>
    <r>
      <t xml:space="preserve">Step 1:  For each resistor enter the required Length </t>
    </r>
    <r>
      <rPr>
        <b/>
        <i/>
        <sz val="10"/>
        <rFont val="Arial"/>
        <family val="2"/>
      </rPr>
      <t>(L)</t>
    </r>
    <r>
      <rPr>
        <sz val="10"/>
        <rFont val="Arial"/>
      </rPr>
      <t xml:space="preserve"> in mils, </t>
    </r>
  </si>
  <si>
    <r>
      <t xml:space="preserve">Step 1:  For each resistor enter the required resistance </t>
    </r>
    <r>
      <rPr>
        <b/>
        <i/>
        <sz val="10"/>
        <rFont val="Arial"/>
        <family val="2"/>
      </rPr>
      <t>(R)</t>
    </r>
    <r>
      <rPr>
        <sz val="10"/>
        <rFont val="Arial"/>
      </rPr>
      <t xml:space="preserve"> in ohms, </t>
    </r>
  </si>
  <si>
    <t>Resistance (ohms)</t>
  </si>
  <si>
    <t>Lmax</t>
  </si>
  <si>
    <r>
      <t>Len</t>
    </r>
    <r>
      <rPr>
        <b/>
        <i/>
        <vertAlign val="subscript"/>
        <sz val="10"/>
        <rFont val="Arial"/>
        <family val="2"/>
      </rPr>
      <t>1</t>
    </r>
  </si>
  <si>
    <t>mils</t>
  </si>
  <si>
    <r>
      <t>mil</t>
    </r>
    <r>
      <rPr>
        <vertAlign val="superscript"/>
        <sz val="10"/>
        <rFont val="Arial"/>
      </rPr>
      <t>2</t>
    </r>
  </si>
  <si>
    <r>
      <t>Len</t>
    </r>
    <r>
      <rPr>
        <b/>
        <i/>
        <vertAlign val="subscript"/>
        <sz val="10"/>
        <rFont val="Arial"/>
        <family val="2"/>
      </rPr>
      <t>2</t>
    </r>
  </si>
  <si>
    <r>
      <t>Len</t>
    </r>
    <r>
      <rPr>
        <b/>
        <i/>
        <vertAlign val="subscript"/>
        <sz val="10"/>
        <rFont val="Arial"/>
        <family val="2"/>
      </rPr>
      <t>3</t>
    </r>
  </si>
  <si>
    <r>
      <t>Len</t>
    </r>
    <r>
      <rPr>
        <b/>
        <i/>
        <vertAlign val="subscript"/>
        <sz val="10"/>
        <rFont val="Arial"/>
        <family val="2"/>
      </rPr>
      <t>4</t>
    </r>
  </si>
  <si>
    <r>
      <t>Len</t>
    </r>
    <r>
      <rPr>
        <b/>
        <i/>
        <vertAlign val="subscript"/>
        <sz val="10"/>
        <rFont val="Arial"/>
        <family val="2"/>
      </rPr>
      <t>5</t>
    </r>
  </si>
  <si>
    <r>
      <t>Len</t>
    </r>
    <r>
      <rPr>
        <b/>
        <i/>
        <vertAlign val="subscript"/>
        <sz val="10"/>
        <rFont val="Arial"/>
        <family val="2"/>
      </rPr>
      <t>6</t>
    </r>
  </si>
  <si>
    <r>
      <t xml:space="preserve">and the length </t>
    </r>
    <r>
      <rPr>
        <b/>
        <i/>
        <sz val="10"/>
        <rFont val="Arial"/>
        <family val="2"/>
      </rPr>
      <t>(L)</t>
    </r>
    <r>
      <rPr>
        <sz val="10"/>
        <rFont val="Arial"/>
      </rPr>
      <t xml:space="preserve"> in mils.</t>
    </r>
  </si>
  <si>
    <r>
      <t>Wid</t>
    </r>
    <r>
      <rPr>
        <b/>
        <i/>
        <vertAlign val="subscript"/>
        <sz val="10"/>
        <rFont val="Arial"/>
        <family val="2"/>
      </rPr>
      <t>1</t>
    </r>
  </si>
  <si>
    <r>
      <t>Wid</t>
    </r>
    <r>
      <rPr>
        <b/>
        <i/>
        <vertAlign val="subscript"/>
        <sz val="10"/>
        <rFont val="Arial"/>
        <family val="2"/>
      </rPr>
      <t>2</t>
    </r>
  </si>
  <si>
    <r>
      <t>Wid</t>
    </r>
    <r>
      <rPr>
        <b/>
        <i/>
        <vertAlign val="subscript"/>
        <sz val="10"/>
        <rFont val="Arial"/>
        <family val="2"/>
      </rPr>
      <t>3</t>
    </r>
  </si>
  <si>
    <r>
      <t>Wid</t>
    </r>
    <r>
      <rPr>
        <b/>
        <i/>
        <vertAlign val="subscript"/>
        <sz val="10"/>
        <rFont val="Arial"/>
        <family val="2"/>
      </rPr>
      <t>4</t>
    </r>
  </si>
  <si>
    <r>
      <t>Wid</t>
    </r>
    <r>
      <rPr>
        <b/>
        <i/>
        <vertAlign val="subscript"/>
        <sz val="10"/>
        <rFont val="Arial"/>
        <family val="2"/>
      </rPr>
      <t>5</t>
    </r>
  </si>
  <si>
    <r>
      <t>Wid</t>
    </r>
    <r>
      <rPr>
        <b/>
        <i/>
        <vertAlign val="subscript"/>
        <sz val="10"/>
        <rFont val="Arial"/>
        <family val="2"/>
      </rPr>
      <t>6</t>
    </r>
  </si>
  <si>
    <t>Wmax</t>
  </si>
  <si>
    <t>MinW</t>
  </si>
  <si>
    <t>MinL</t>
  </si>
  <si>
    <t>Minimum</t>
  </si>
  <si>
    <t>Resistor Value (Ohms)</t>
  </si>
  <si>
    <t>Power Dissipation (mWatts)</t>
  </si>
  <si>
    <t>Tolerance (%)</t>
  </si>
  <si>
    <t>Review for acceptability for each sheet resistivity against design rules</t>
  </si>
  <si>
    <r>
      <t>W</t>
    </r>
    <r>
      <rPr>
        <b/>
        <i/>
        <vertAlign val="subscript"/>
        <sz val="10"/>
        <rFont val="Arial"/>
        <family val="2"/>
      </rPr>
      <t>1</t>
    </r>
  </si>
  <si>
    <r>
      <t>L</t>
    </r>
    <r>
      <rPr>
        <b/>
        <i/>
        <vertAlign val="subscript"/>
        <sz val="10"/>
        <rFont val="Arial"/>
        <family val="2"/>
      </rPr>
      <t>1</t>
    </r>
  </si>
  <si>
    <r>
      <t>W</t>
    </r>
    <r>
      <rPr>
        <b/>
        <i/>
        <vertAlign val="subscript"/>
        <sz val="10"/>
        <rFont val="Arial"/>
        <family val="2"/>
      </rPr>
      <t>2</t>
    </r>
  </si>
  <si>
    <r>
      <t>L</t>
    </r>
    <r>
      <rPr>
        <b/>
        <i/>
        <vertAlign val="subscript"/>
        <sz val="10"/>
        <rFont val="Arial"/>
        <family val="2"/>
      </rPr>
      <t>2</t>
    </r>
  </si>
  <si>
    <r>
      <t>W</t>
    </r>
    <r>
      <rPr>
        <b/>
        <i/>
        <vertAlign val="subscript"/>
        <sz val="10"/>
        <rFont val="Arial"/>
        <family val="2"/>
      </rPr>
      <t>3</t>
    </r>
  </si>
  <si>
    <r>
      <t>L</t>
    </r>
    <r>
      <rPr>
        <b/>
        <i/>
        <vertAlign val="subscript"/>
        <sz val="10"/>
        <rFont val="Arial"/>
        <family val="2"/>
      </rPr>
      <t>3</t>
    </r>
  </si>
  <si>
    <r>
      <t>W</t>
    </r>
    <r>
      <rPr>
        <b/>
        <i/>
        <vertAlign val="subscript"/>
        <sz val="10"/>
        <rFont val="Arial"/>
        <family val="2"/>
      </rPr>
      <t>4</t>
    </r>
  </si>
  <si>
    <r>
      <t>L</t>
    </r>
    <r>
      <rPr>
        <b/>
        <i/>
        <vertAlign val="subscript"/>
        <sz val="10"/>
        <rFont val="Arial"/>
        <family val="2"/>
      </rPr>
      <t>4</t>
    </r>
  </si>
  <si>
    <r>
      <t>W</t>
    </r>
    <r>
      <rPr>
        <b/>
        <i/>
        <vertAlign val="subscript"/>
        <sz val="10"/>
        <rFont val="Arial"/>
        <family val="2"/>
      </rPr>
      <t>5</t>
    </r>
  </si>
  <si>
    <r>
      <t>L</t>
    </r>
    <r>
      <rPr>
        <b/>
        <i/>
        <vertAlign val="subscript"/>
        <sz val="10"/>
        <rFont val="Arial"/>
        <family val="2"/>
      </rPr>
      <t>5</t>
    </r>
  </si>
  <si>
    <r>
      <t>W</t>
    </r>
    <r>
      <rPr>
        <b/>
        <i/>
        <vertAlign val="subscript"/>
        <sz val="10"/>
        <rFont val="Arial"/>
        <family val="2"/>
      </rPr>
      <t>6</t>
    </r>
  </si>
  <si>
    <r>
      <t>L</t>
    </r>
    <r>
      <rPr>
        <b/>
        <i/>
        <vertAlign val="subscript"/>
        <sz val="10"/>
        <rFont val="Arial"/>
        <family val="2"/>
      </rPr>
      <t>6</t>
    </r>
  </si>
  <si>
    <t>(Mils)</t>
  </si>
  <si>
    <r>
      <t xml:space="preserve">*L and W are constrained by power dissipation </t>
    </r>
    <r>
      <rPr>
        <b/>
        <i/>
        <sz val="9"/>
        <rFont val="Arial"/>
        <family val="2"/>
      </rPr>
      <t>(P)</t>
    </r>
    <r>
      <rPr>
        <sz val="9"/>
        <rFont val="Arial"/>
        <family val="2"/>
      </rPr>
      <t xml:space="preserve"> or tolerance</t>
    </r>
    <r>
      <rPr>
        <b/>
        <i/>
        <sz val="9"/>
        <rFont val="Arial"/>
        <family val="2"/>
      </rPr>
      <t xml:space="preserve"> (t)</t>
    </r>
    <r>
      <rPr>
        <sz val="9"/>
        <rFont val="Arial"/>
        <family val="2"/>
      </rPr>
      <t xml:space="preserve"> requirements</t>
    </r>
  </si>
  <si>
    <t>based on sheet resistivity, resistor length and width</t>
  </si>
  <si>
    <t>Ticer Resistive Foils TCR® Designer's Guide</t>
  </si>
  <si>
    <t>Ohms/Square (OPS)</t>
  </si>
  <si>
    <t>Density</t>
  </si>
  <si>
    <t>Step 3:  Length and Width of the resistors are calculated for the different sheet resistivities.</t>
  </si>
  <si>
    <t>Step 4:  Resistor patterns are configured to optimize the footprint of the resistor</t>
  </si>
  <si>
    <t>Width Etch Tolerance</t>
  </si>
  <si>
    <t>Length Etch Tolerance</t>
  </si>
  <si>
    <r>
      <t xml:space="preserve">C-Recommended Length </t>
    </r>
    <r>
      <rPr>
        <b/>
        <i/>
        <sz val="10"/>
        <rFont val="Arial"/>
        <family val="2"/>
      </rPr>
      <t>(L)</t>
    </r>
    <r>
      <rPr>
        <b/>
        <sz val="10"/>
        <rFont val="Arial"/>
        <family val="2"/>
      </rPr>
      <t xml:space="preserve"> and Width </t>
    </r>
    <r>
      <rPr>
        <b/>
        <i/>
        <sz val="10"/>
        <rFont val="Arial"/>
        <family val="2"/>
      </rPr>
      <t>(W)</t>
    </r>
    <r>
      <rPr>
        <b/>
        <sz val="10"/>
        <rFont val="Arial"/>
        <family val="2"/>
      </rPr>
      <t xml:space="preserve"> of resistors by corresponding sheet resistivity (Table 3)</t>
    </r>
  </si>
  <si>
    <t>D-Recommended resistor configuration (Table 4)</t>
  </si>
  <si>
    <t>Table 4</t>
  </si>
  <si>
    <t>B-Input Width and Length Etch Tolerances. Available from PWB Fabricator. (Table 2)</t>
  </si>
  <si>
    <r>
      <t xml:space="preserve">and the maximum allowable tolerance </t>
    </r>
    <r>
      <rPr>
        <b/>
        <i/>
        <sz val="10"/>
        <rFont val="Arial"/>
        <family val="2"/>
      </rPr>
      <t>(t)</t>
    </r>
    <r>
      <rPr>
        <sz val="10"/>
        <rFont val="Arial"/>
      </rPr>
      <t xml:space="preserve"> in percentage (%). </t>
    </r>
    <r>
      <rPr>
        <sz val="10"/>
        <color indexed="12"/>
        <rFont val="Arial"/>
        <family val="2"/>
      </rPr>
      <t>Note: Tolerances below 5% will output a value less than the TCR</t>
    </r>
    <r>
      <rPr>
        <vertAlign val="superscript"/>
        <sz val="10"/>
        <color indexed="12"/>
        <rFont val="Arial"/>
        <family val="2"/>
      </rPr>
      <t>®</t>
    </r>
    <r>
      <rPr>
        <sz val="10"/>
        <color indexed="12"/>
        <rFont val="Arial"/>
        <family val="2"/>
      </rPr>
      <t xml:space="preserve"> material tolerance.</t>
    </r>
  </si>
  <si>
    <t>A-Input Resistor Specifications (Table 1)</t>
  </si>
  <si>
    <r>
      <t>Tol</t>
    </r>
    <r>
      <rPr>
        <b/>
        <i/>
        <vertAlign val="subscript"/>
        <sz val="10"/>
        <rFont val="Arial"/>
        <family val="2"/>
      </rPr>
      <t>1</t>
    </r>
  </si>
  <si>
    <t>+/-%</t>
  </si>
  <si>
    <t>Step 3:  Resistor value, Power Dissipation, and estimated tolerance of the resistors are calculated for the different sheet resistivities.</t>
  </si>
  <si>
    <r>
      <t>Variables</t>
    </r>
    <r>
      <rPr>
        <sz val="12"/>
        <color indexed="12"/>
        <rFont val="Arial"/>
        <family val="2"/>
      </rPr>
      <t>: Resistor Length, Width, &amp; Etch Tolerance</t>
    </r>
    <r>
      <rPr>
        <sz val="12"/>
        <rFont val="Arial"/>
      </rPr>
      <t xml:space="preserve">        </t>
    </r>
    <r>
      <rPr>
        <b/>
        <sz val="12"/>
        <color indexed="57"/>
        <rFont val="Arial"/>
        <family val="2"/>
      </rPr>
      <t>Calculates</t>
    </r>
    <r>
      <rPr>
        <sz val="12"/>
        <color indexed="57"/>
        <rFont val="Arial"/>
        <family val="2"/>
      </rPr>
      <t>: Resistor value and Power Dissipation</t>
    </r>
  </si>
  <si>
    <r>
      <t xml:space="preserve">C-Calculated resistance </t>
    </r>
    <r>
      <rPr>
        <b/>
        <i/>
        <sz val="10"/>
        <rFont val="Arial"/>
        <family val="2"/>
      </rPr>
      <t>(Res)</t>
    </r>
    <r>
      <rPr>
        <b/>
        <sz val="10"/>
        <rFont val="Arial"/>
        <family val="2"/>
      </rPr>
      <t xml:space="preserve"> in ohms,Power Dissipaton </t>
    </r>
    <r>
      <rPr>
        <b/>
        <i/>
        <sz val="10"/>
        <rFont val="Arial"/>
        <family val="2"/>
      </rPr>
      <t xml:space="preserve">(PD) in </t>
    </r>
    <r>
      <rPr>
        <b/>
        <sz val="10"/>
        <rFont val="Arial"/>
        <family val="2"/>
      </rPr>
      <t>mWatts, and estimated Tolerance (</t>
    </r>
    <r>
      <rPr>
        <b/>
        <i/>
        <sz val="10"/>
        <rFont val="Arial"/>
        <family val="2"/>
      </rPr>
      <t>Tol</t>
    </r>
    <r>
      <rPr>
        <b/>
        <sz val="10"/>
        <rFont val="Arial"/>
        <family val="2"/>
      </rPr>
      <t>) of resistors by corresponding sheet resistivity (Table 3)</t>
    </r>
  </si>
  <si>
    <r>
      <t xml:space="preserve">Step 2: Width and Length  Etch Tolerances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)</t>
    </r>
    <r>
      <rPr>
        <sz val="10"/>
        <rFont val="Arial"/>
      </rPr>
      <t xml:space="preserve"> based on PWB fabricator data is input.  </t>
    </r>
    <r>
      <rPr>
        <sz val="10"/>
        <color indexed="12"/>
        <rFont val="Arial"/>
        <family val="2"/>
      </rPr>
      <t>Note: Default value = 1/2 mil for 1/2 oz. copper</t>
    </r>
  </si>
  <si>
    <r>
      <t>E</t>
    </r>
    <r>
      <rPr>
        <b/>
        <i/>
        <sz val="10"/>
        <rFont val="Arial"/>
        <family val="2"/>
      </rPr>
      <t xml:space="preserve"> (mils)</t>
    </r>
  </si>
  <si>
    <r>
      <t xml:space="preserve">Step 2:  Width and Length Etch Tolerances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)</t>
    </r>
    <r>
      <rPr>
        <sz val="10"/>
        <rFont val="Arial"/>
      </rPr>
      <t xml:space="preserve"> based on PWB fabricator data is input.  </t>
    </r>
    <r>
      <rPr>
        <sz val="10"/>
        <color indexed="12"/>
        <rFont val="Arial"/>
        <family val="2"/>
      </rPr>
      <t>Note: Default value = 1/2 mil for 1/2 oz. copper</t>
    </r>
  </si>
  <si>
    <r>
      <t>Tol</t>
    </r>
    <r>
      <rPr>
        <b/>
        <i/>
        <vertAlign val="subscript"/>
        <sz val="10"/>
        <rFont val="Arial"/>
        <family val="2"/>
      </rPr>
      <t>2</t>
    </r>
  </si>
  <si>
    <r>
      <t>Tol</t>
    </r>
    <r>
      <rPr>
        <b/>
        <i/>
        <vertAlign val="subscript"/>
        <sz val="10"/>
        <rFont val="Arial"/>
        <family val="2"/>
      </rPr>
      <t>3</t>
    </r>
  </si>
  <si>
    <r>
      <t>Tol</t>
    </r>
    <r>
      <rPr>
        <b/>
        <i/>
        <vertAlign val="subscript"/>
        <sz val="10"/>
        <rFont val="Arial"/>
        <family val="2"/>
      </rPr>
      <t>4</t>
    </r>
  </si>
  <si>
    <r>
      <t>Tol</t>
    </r>
    <r>
      <rPr>
        <b/>
        <i/>
        <vertAlign val="subscript"/>
        <sz val="10"/>
        <rFont val="Arial"/>
        <family val="2"/>
      </rPr>
      <t>5</t>
    </r>
  </si>
  <si>
    <r>
      <t>Tol</t>
    </r>
    <r>
      <rPr>
        <b/>
        <i/>
        <vertAlign val="subscript"/>
        <sz val="10"/>
        <rFont val="Arial"/>
        <family val="2"/>
      </rPr>
      <t>6</t>
    </r>
  </si>
  <si>
    <t>Step 2:  Resistor Length, Power Dissipation and estimated resistor tolerance are calculated for the different sheet resistivities.</t>
  </si>
  <si>
    <t>Step 2:  Resistor Width, Power Dissipation and estimated resistor tolerance are calculated for the different sheet resistivities.</t>
  </si>
  <si>
    <r>
      <t>Variables</t>
    </r>
    <r>
      <rPr>
        <sz val="12"/>
        <color indexed="12"/>
        <rFont val="Arial"/>
        <family val="2"/>
      </rPr>
      <t xml:space="preserve">: Resistance and Resistor Length </t>
    </r>
    <r>
      <rPr>
        <sz val="12"/>
        <rFont val="Arial"/>
      </rPr>
      <t xml:space="preserve">      </t>
    </r>
    <r>
      <rPr>
        <b/>
        <sz val="12"/>
        <color indexed="57"/>
        <rFont val="Arial"/>
        <family val="2"/>
      </rPr>
      <t>Calculates</t>
    </r>
    <r>
      <rPr>
        <sz val="12"/>
        <color indexed="57"/>
        <rFont val="Arial"/>
        <family val="2"/>
      </rPr>
      <t>: Resistor Width, Power Dissipation, &amp; Resistor Tolerance</t>
    </r>
  </si>
  <si>
    <r>
      <t>Variables</t>
    </r>
    <r>
      <rPr>
        <sz val="12"/>
        <color indexed="12"/>
        <rFont val="Arial"/>
        <family val="2"/>
      </rPr>
      <t>: Resistance and Resistor Width</t>
    </r>
    <r>
      <rPr>
        <sz val="12"/>
        <rFont val="Arial"/>
      </rPr>
      <t xml:space="preserve">    </t>
    </r>
    <r>
      <rPr>
        <b/>
        <sz val="12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Calculates</t>
    </r>
    <r>
      <rPr>
        <sz val="12"/>
        <color indexed="57"/>
        <rFont val="Arial"/>
        <family val="2"/>
      </rPr>
      <t>: Resistor Length, Power Dissipation, &amp; Resistor Tolerance</t>
    </r>
  </si>
  <si>
    <r>
      <t>Variables</t>
    </r>
    <r>
      <rPr>
        <sz val="12"/>
        <color indexed="12"/>
        <rFont val="Arial"/>
        <family val="2"/>
      </rPr>
      <t>: Resistor Value, Power Dissipation, Tolerance, &amp; Etch Tolerance</t>
    </r>
    <r>
      <rPr>
        <sz val="12"/>
        <rFont val="Arial"/>
      </rPr>
      <t xml:space="preserve">        </t>
    </r>
    <r>
      <rPr>
        <b/>
        <sz val="12"/>
        <color indexed="57"/>
        <rFont val="Arial"/>
        <family val="2"/>
      </rPr>
      <t>Calculates</t>
    </r>
    <r>
      <rPr>
        <sz val="12"/>
        <color indexed="57"/>
        <rFont val="Arial"/>
        <family val="2"/>
      </rPr>
      <t>: Baseline Resistor Width &amp; Length</t>
    </r>
  </si>
  <si>
    <r>
      <t xml:space="preserve">B-Calculated resistor length </t>
    </r>
    <r>
      <rPr>
        <b/>
        <i/>
        <sz val="10"/>
        <rFont val="Arial"/>
        <family val="2"/>
      </rPr>
      <t>(Len)</t>
    </r>
    <r>
      <rPr>
        <b/>
        <sz val="10"/>
        <rFont val="Arial"/>
        <family val="2"/>
      </rPr>
      <t xml:space="preserve"> in mils, Power Dissipation </t>
    </r>
    <r>
      <rPr>
        <b/>
        <i/>
        <sz val="10"/>
        <rFont val="Arial"/>
        <family val="2"/>
      </rPr>
      <t>(PD)</t>
    </r>
    <r>
      <rPr>
        <b/>
        <sz val="10"/>
        <rFont val="Arial"/>
        <family val="2"/>
      </rPr>
      <t xml:space="preserve"> in mWatts, and estimated resistor tolerance (</t>
    </r>
    <r>
      <rPr>
        <b/>
        <i/>
        <sz val="10"/>
        <rFont val="Arial"/>
        <family val="2"/>
      </rPr>
      <t>Tol</t>
    </r>
    <r>
      <rPr>
        <b/>
        <sz val="10"/>
        <rFont val="Arial"/>
        <family val="2"/>
      </rPr>
      <t>) of resistors by corresponding sheet resistivity (Table 2)</t>
    </r>
  </si>
  <si>
    <r>
      <t xml:space="preserve">Step 1:  For each resistor enter the resistor value </t>
    </r>
    <r>
      <rPr>
        <b/>
        <i/>
        <sz val="10"/>
        <rFont val="Arial"/>
        <family val="2"/>
      </rPr>
      <t>(R)</t>
    </r>
    <r>
      <rPr>
        <sz val="10"/>
        <rFont val="Arial"/>
      </rPr>
      <t xml:space="preserve"> in ohms, its power dissipations </t>
    </r>
    <r>
      <rPr>
        <b/>
        <i/>
        <sz val="10"/>
        <rFont val="Arial"/>
        <family val="2"/>
      </rPr>
      <t>(P)</t>
    </r>
    <r>
      <rPr>
        <sz val="10"/>
        <rFont val="Arial"/>
      </rPr>
      <t xml:space="preserve"> in milliWatts, </t>
    </r>
  </si>
  <si>
    <r>
      <t xml:space="preserve">B-Calculated Resistor Width </t>
    </r>
    <r>
      <rPr>
        <b/>
        <i/>
        <sz val="10"/>
        <rFont val="Arial"/>
        <family val="2"/>
      </rPr>
      <t>(Wid)</t>
    </r>
    <r>
      <rPr>
        <b/>
        <sz val="10"/>
        <rFont val="Arial"/>
        <family val="2"/>
      </rPr>
      <t xml:space="preserve"> in mils, Power Dissipation </t>
    </r>
    <r>
      <rPr>
        <b/>
        <i/>
        <sz val="10"/>
        <rFont val="Arial"/>
        <family val="2"/>
      </rPr>
      <t>(PD)</t>
    </r>
    <r>
      <rPr>
        <b/>
        <sz val="10"/>
        <rFont val="Arial"/>
        <family val="2"/>
      </rPr>
      <t xml:space="preserve"> in mWatts, and estimated Resistor Tolerance (</t>
    </r>
    <r>
      <rPr>
        <b/>
        <i/>
        <sz val="10"/>
        <rFont val="Arial"/>
        <family val="2"/>
      </rPr>
      <t>Tol</t>
    </r>
    <r>
      <rPr>
        <b/>
        <sz val="10"/>
        <rFont val="Arial"/>
        <family val="2"/>
      </rPr>
      <t>) by corresponding sheet resistivity (Table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</si>
</sst>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22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0"/>
      <name val="Arial"/>
    </font>
    <font>
      <vertAlign val="superscript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sz val="8"/>
      <name val="Arial"/>
      <family val="2"/>
    </font>
    <font>
      <sz val="8"/>
      <color indexed="22"/>
      <name val="Arial"/>
      <family val="2"/>
    </font>
    <font>
      <sz val="10"/>
      <name val="Arial"/>
    </font>
    <font>
      <vertAlign val="superscript"/>
      <sz val="10"/>
      <name val="Arial"/>
    </font>
    <font>
      <sz val="12"/>
      <name val="Arial"/>
    </font>
    <font>
      <sz val="12"/>
      <color indexed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1"/>
      <name val="Tahoma"/>
    </font>
    <font>
      <b/>
      <sz val="11"/>
      <color indexed="81"/>
      <name val="Tahoma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8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34" fillId="14" borderId="0" applyNumberFormat="0" applyBorder="0" applyAlignment="0" applyProtection="0"/>
    <xf numFmtId="0" fontId="39" fillId="15" borderId="1" applyNumberFormat="0" applyAlignment="0" applyProtection="0"/>
    <xf numFmtId="0" fontId="41" fillId="8" borderId="2" applyNumberForma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7" fillId="13" borderId="1" applyNumberFormat="0" applyAlignment="0" applyProtection="0"/>
    <xf numFmtId="0" fontId="40" fillId="0" borderId="6" applyNumberFormat="0" applyFill="0" applyAlignment="0" applyProtection="0"/>
    <xf numFmtId="0" fontId="35" fillId="19" borderId="0" applyNumberFormat="0" applyBorder="0" applyAlignment="0" applyProtection="0"/>
    <xf numFmtId="0" fontId="22" fillId="6" borderId="7" applyNumberFormat="0" applyFont="0" applyAlignment="0" applyProtection="0"/>
    <xf numFmtId="0" fontId="38" fillId="15" borderId="8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10" xfId="0" applyBorder="1"/>
    <xf numFmtId="0" fontId="0" fillId="0" borderId="11" xfId="0" applyBorder="1"/>
    <xf numFmtId="0" fontId="6" fillId="20" borderId="12" xfId="0" applyFont="1" applyFill="1" applyBorder="1"/>
    <xf numFmtId="0" fontId="2" fillId="20" borderId="13" xfId="0" applyFont="1" applyFill="1" applyBorder="1" applyAlignment="1">
      <alignment horizontal="center"/>
    </xf>
    <xf numFmtId="0" fontId="0" fillId="20" borderId="10" xfId="0" applyFill="1" applyBorder="1"/>
    <xf numFmtId="0" fontId="2" fillId="20" borderId="14" xfId="0" applyFont="1" applyFill="1" applyBorder="1" applyAlignment="1">
      <alignment horizontal="center"/>
    </xf>
    <xf numFmtId="0" fontId="2" fillId="20" borderId="10" xfId="0" applyFont="1" applyFill="1" applyBorder="1"/>
    <xf numFmtId="0" fontId="2" fillId="20" borderId="10" xfId="0" applyFont="1" applyFill="1" applyBorder="1" applyAlignment="1">
      <alignment horizontal="center"/>
    </xf>
    <xf numFmtId="0" fontId="0" fillId="20" borderId="13" xfId="0" applyFill="1" applyBorder="1"/>
    <xf numFmtId="0" fontId="2" fillId="21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0" fillId="23" borderId="15" xfId="0" applyFill="1" applyBorder="1" applyAlignment="1">
      <alignment horizontal="right"/>
    </xf>
    <xf numFmtId="0" fontId="2" fillId="23" borderId="16" xfId="0" applyFont="1" applyFill="1" applyBorder="1" applyAlignment="1">
      <alignment horizontal="center" vertical="center"/>
    </xf>
    <xf numFmtId="0" fontId="0" fillId="23" borderId="16" xfId="0" applyFill="1" applyBorder="1" applyAlignment="1">
      <alignment horizontal="center"/>
    </xf>
    <xf numFmtId="0" fontId="0" fillId="20" borderId="15" xfId="0" applyFill="1" applyBorder="1"/>
    <xf numFmtId="0" fontId="0" fillId="20" borderId="0" xfId="0" applyFill="1" applyBorder="1"/>
    <xf numFmtId="0" fontId="0" fillId="20" borderId="17" xfId="0" applyFill="1" applyBorder="1"/>
    <xf numFmtId="0" fontId="0" fillId="20" borderId="18" xfId="0" applyFill="1" applyBorder="1"/>
    <xf numFmtId="0" fontId="0" fillId="20" borderId="14" xfId="0" applyFill="1" applyBorder="1"/>
    <xf numFmtId="0" fontId="0" fillId="20" borderId="19" xfId="0" applyFill="1" applyBorder="1"/>
    <xf numFmtId="0" fontId="0" fillId="20" borderId="11" xfId="0" applyFill="1" applyBorder="1"/>
    <xf numFmtId="0" fontId="0" fillId="20" borderId="20" xfId="0" applyFill="1" applyBorder="1"/>
    <xf numFmtId="0" fontId="2" fillId="20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36" applyAlignment="1" applyProtection="1"/>
    <xf numFmtId="0" fontId="7" fillId="0" borderId="0" xfId="36" applyFill="1" applyBorder="1" applyAlignment="1" applyProtection="1"/>
    <xf numFmtId="0" fontId="0" fillId="0" borderId="21" xfId="0" applyBorder="1"/>
    <xf numFmtId="0" fontId="1" fillId="0" borderId="10" xfId="0" applyFont="1" applyBorder="1"/>
    <xf numFmtId="0" fontId="0" fillId="0" borderId="15" xfId="0" applyNumberFormat="1" applyBorder="1" applyAlignment="1" applyProtection="1">
      <alignment horizontal="center"/>
      <protection hidden="1"/>
    </xf>
    <xf numFmtId="0" fontId="0" fillId="24" borderId="21" xfId="0" applyFill="1" applyBorder="1"/>
    <xf numFmtId="0" fontId="12" fillId="24" borderId="22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164" fontId="0" fillId="24" borderId="16" xfId="0" applyNumberFormat="1" applyFill="1" applyBorder="1" applyAlignment="1">
      <alignment horizontal="center"/>
    </xf>
    <xf numFmtId="0" fontId="0" fillId="25" borderId="21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0" xfId="0" applyFill="1" applyBorder="1"/>
    <xf numFmtId="0" fontId="12" fillId="25" borderId="20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19" xfId="0" applyFont="1" applyFill="1" applyBorder="1" applyAlignment="1">
      <alignment horizontal="center"/>
    </xf>
    <xf numFmtId="0" fontId="12" fillId="25" borderId="22" xfId="0" applyFon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164" fontId="12" fillId="25" borderId="16" xfId="0" applyNumberFormat="1" applyFont="1" applyFill="1" applyBorder="1" applyAlignment="1">
      <alignment horizontal="center"/>
    </xf>
    <xf numFmtId="2" fontId="12" fillId="25" borderId="16" xfId="0" applyNumberFormat="1" applyFont="1" applyFill="1" applyBorder="1" applyAlignment="1" applyProtection="1">
      <alignment horizontal="center"/>
    </xf>
    <xf numFmtId="164" fontId="14" fillId="25" borderId="16" xfId="0" applyNumberFormat="1" applyFont="1" applyFill="1" applyBorder="1" applyAlignment="1">
      <alignment horizontal="center"/>
    </xf>
    <xf numFmtId="164" fontId="15" fillId="25" borderId="16" xfId="0" applyNumberFormat="1" applyFont="1" applyFill="1" applyBorder="1" applyAlignment="1">
      <alignment horizontal="center"/>
    </xf>
    <xf numFmtId="1" fontId="16" fillId="25" borderId="16" xfId="0" applyNumberFormat="1" applyFont="1" applyFill="1" applyBorder="1" applyAlignment="1">
      <alignment horizontal="center"/>
    </xf>
    <xf numFmtId="0" fontId="0" fillId="21" borderId="25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11" fillId="26" borderId="10" xfId="0" applyFont="1" applyFill="1" applyBorder="1"/>
    <xf numFmtId="0" fontId="0" fillId="26" borderId="23" xfId="0" applyFill="1" applyBorder="1"/>
    <xf numFmtId="1" fontId="17" fillId="27" borderId="22" xfId="0" applyNumberFormat="1" applyFont="1" applyFill="1" applyBorder="1" applyAlignment="1">
      <alignment horizontal="center"/>
    </xf>
    <xf numFmtId="1" fontId="19" fillId="27" borderId="22" xfId="0" applyNumberFormat="1" applyFont="1" applyFill="1" applyBorder="1" applyAlignment="1">
      <alignment horizontal="center"/>
    </xf>
    <xf numFmtId="1" fontId="17" fillId="22" borderId="22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vertical="center"/>
    </xf>
    <xf numFmtId="0" fontId="0" fillId="20" borderId="26" xfId="0" applyFill="1" applyBorder="1"/>
    <xf numFmtId="0" fontId="21" fillId="20" borderId="12" xfId="0" applyFont="1" applyFill="1" applyBorder="1"/>
    <xf numFmtId="0" fontId="20" fillId="20" borderId="10" xfId="0" applyFont="1" applyFill="1" applyBorder="1"/>
    <xf numFmtId="0" fontId="21" fillId="20" borderId="20" xfId="0" applyFont="1" applyFill="1" applyBorder="1"/>
    <xf numFmtId="0" fontId="20" fillId="20" borderId="22" xfId="0" applyFont="1" applyFill="1" applyBorder="1"/>
    <xf numFmtId="0" fontId="2" fillId="21" borderId="27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164" fontId="17" fillId="27" borderId="22" xfId="0" applyNumberFormat="1" applyFont="1" applyFill="1" applyBorder="1" applyAlignment="1">
      <alignment horizontal="center"/>
    </xf>
    <xf numFmtId="164" fontId="17" fillId="27" borderId="16" xfId="0" applyNumberFormat="1" applyFont="1" applyFill="1" applyBorder="1" applyAlignment="1">
      <alignment horizontal="center"/>
    </xf>
    <xf numFmtId="0" fontId="2" fillId="21" borderId="28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164" fontId="17" fillId="22" borderId="22" xfId="0" applyNumberFormat="1" applyFont="1" applyFill="1" applyBorder="1" applyAlignment="1">
      <alignment horizontal="center"/>
    </xf>
    <xf numFmtId="0" fontId="0" fillId="0" borderId="0" xfId="0" applyAlignment="1"/>
    <xf numFmtId="0" fontId="1" fillId="25" borderId="21" xfId="0" applyFont="1" applyFill="1" applyBorder="1"/>
    <xf numFmtId="0" fontId="22" fillId="25" borderId="24" xfId="0" applyFont="1" applyFill="1" applyBorder="1" applyAlignment="1">
      <alignment horizontal="center"/>
    </xf>
    <xf numFmtId="164" fontId="22" fillId="25" borderId="16" xfId="0" applyNumberFormat="1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12" fillId="25" borderId="16" xfId="0" applyNumberFormat="1" applyFont="1" applyFill="1" applyBorder="1" applyAlignment="1">
      <alignment horizontal="center"/>
    </xf>
    <xf numFmtId="0" fontId="6" fillId="20" borderId="20" xfId="0" applyFont="1" applyFill="1" applyBorder="1"/>
    <xf numFmtId="0" fontId="0" fillId="20" borderId="22" xfId="0" applyFill="1" applyBorder="1"/>
    <xf numFmtId="2" fontId="17" fillId="27" borderId="22" xfId="0" applyNumberFormat="1" applyFont="1" applyFill="1" applyBorder="1" applyAlignment="1">
      <alignment horizontal="center"/>
    </xf>
    <xf numFmtId="0" fontId="0" fillId="23" borderId="17" xfId="0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/>
    </xf>
    <xf numFmtId="1" fontId="17" fillId="28" borderId="22" xfId="0" applyNumberFormat="1" applyFont="1" applyFill="1" applyBorder="1" applyAlignment="1">
      <alignment horizontal="center"/>
    </xf>
    <xf numFmtId="1" fontId="19" fillId="28" borderId="22" xfId="0" applyNumberFormat="1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 vertical="center"/>
    </xf>
    <xf numFmtId="0" fontId="0" fillId="23" borderId="15" xfId="0" applyFill="1" applyBorder="1" applyAlignment="1">
      <alignment horizontal="center"/>
    </xf>
    <xf numFmtId="0" fontId="0" fillId="20" borderId="21" xfId="0" applyFill="1" applyBorder="1"/>
    <xf numFmtId="0" fontId="0" fillId="20" borderId="12" xfId="0" applyFill="1" applyBorder="1"/>
    <xf numFmtId="0" fontId="21" fillId="20" borderId="0" xfId="0" applyFont="1" applyFill="1" applyBorder="1"/>
    <xf numFmtId="0" fontId="20" fillId="20" borderId="0" xfId="0" applyFont="1" applyFill="1" applyBorder="1"/>
    <xf numFmtId="0" fontId="21" fillId="20" borderId="11" xfId="0" applyFont="1" applyFill="1" applyBorder="1"/>
    <xf numFmtId="0" fontId="20" fillId="20" borderId="11" xfId="0" applyFont="1" applyFill="1" applyBorder="1"/>
    <xf numFmtId="0" fontId="3" fillId="29" borderId="0" xfId="0" applyFont="1" applyFill="1" applyAlignment="1">
      <alignment horizontal="left"/>
    </xf>
    <xf numFmtId="0" fontId="0" fillId="29" borderId="0" xfId="0" applyFill="1" applyAlignment="1">
      <alignment horizontal="left"/>
    </xf>
    <xf numFmtId="0" fontId="0" fillId="25" borderId="30" xfId="0" applyFill="1" applyBorder="1" applyAlignment="1">
      <alignment horizontal="center"/>
    </xf>
    <xf numFmtId="0" fontId="2" fillId="29" borderId="16" xfId="0" applyFont="1" applyFill="1" applyBorder="1"/>
    <xf numFmtId="1" fontId="17" fillId="30" borderId="22" xfId="0" applyNumberFormat="1" applyFont="1" applyFill="1" applyBorder="1" applyAlignment="1">
      <alignment horizontal="center"/>
    </xf>
    <xf numFmtId="0" fontId="2" fillId="28" borderId="16" xfId="0" applyFont="1" applyFill="1" applyBorder="1"/>
    <xf numFmtId="0" fontId="2" fillId="28" borderId="28" xfId="0" quotePrefix="1" applyFont="1" applyFill="1" applyBorder="1" applyAlignment="1">
      <alignment vertical="center"/>
    </xf>
    <xf numFmtId="0" fontId="2" fillId="29" borderId="28" xfId="0" quotePrefix="1" applyFont="1" applyFill="1" applyBorder="1" applyAlignment="1">
      <alignment vertical="center"/>
    </xf>
    <xf numFmtId="0" fontId="22" fillId="0" borderId="11" xfId="0" applyFont="1" applyBorder="1"/>
    <xf numFmtId="0" fontId="22" fillId="25" borderId="21" xfId="0" applyFont="1" applyFill="1" applyBorder="1"/>
    <xf numFmtId="0" fontId="22" fillId="25" borderId="12" xfId="0" applyFont="1" applyFill="1" applyBorder="1" applyAlignment="1">
      <alignment horizontal="center"/>
    </xf>
    <xf numFmtId="0" fontId="22" fillId="25" borderId="20" xfId="0" applyFont="1" applyFill="1" applyBorder="1" applyAlignment="1">
      <alignment horizontal="center"/>
    </xf>
    <xf numFmtId="0" fontId="28" fillId="0" borderId="0" xfId="0" applyFont="1" applyAlignment="1"/>
    <xf numFmtId="0" fontId="24" fillId="0" borderId="0" xfId="0" applyFont="1" applyAlignment="1"/>
    <xf numFmtId="0" fontId="3" fillId="0" borderId="0" xfId="0" applyFont="1" applyFill="1" applyAlignment="1"/>
    <xf numFmtId="0" fontId="3" fillId="0" borderId="11" xfId="0" applyFont="1" applyBorder="1" applyAlignment="1">
      <alignment horizontal="center"/>
    </xf>
    <xf numFmtId="0" fontId="3" fillId="29" borderId="0" xfId="0" applyFont="1" applyFill="1" applyAlignment="1">
      <alignment horizontal="left"/>
    </xf>
    <xf numFmtId="0" fontId="2" fillId="21" borderId="31" xfId="0" applyFont="1" applyFill="1" applyBorder="1" applyAlignment="1">
      <alignment horizontal="center" vertical="center"/>
    </xf>
    <xf numFmtId="0" fontId="2" fillId="21" borderId="27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17" fillId="21" borderId="33" xfId="0" applyFont="1" applyFill="1" applyBorder="1" applyAlignment="1" applyProtection="1">
      <alignment horizontal="center"/>
      <protection locked="0"/>
    </xf>
    <xf numFmtId="0" fontId="17" fillId="21" borderId="34" xfId="0" applyFont="1" applyFill="1" applyBorder="1" applyAlignment="1" applyProtection="1">
      <alignment horizontal="center"/>
      <protection locked="0"/>
    </xf>
    <xf numFmtId="0" fontId="17" fillId="21" borderId="15" xfId="0" applyFont="1" applyFill="1" applyBorder="1" applyAlignment="1" applyProtection="1">
      <alignment horizontal="center"/>
      <protection locked="0"/>
    </xf>
    <xf numFmtId="0" fontId="17" fillId="21" borderId="32" xfId="0" applyFont="1" applyFill="1" applyBorder="1" applyAlignment="1" applyProtection="1">
      <alignment horizontal="center"/>
      <protection locked="0"/>
    </xf>
    <xf numFmtId="0" fontId="17" fillId="22" borderId="15" xfId="0" applyFont="1" applyFill="1" applyBorder="1" applyAlignment="1" applyProtection="1">
      <alignment horizontal="center"/>
      <protection locked="0"/>
    </xf>
    <xf numFmtId="0" fontId="17" fillId="22" borderId="32" xfId="0" applyFont="1" applyFill="1" applyBorder="1" applyAlignment="1" applyProtection="1">
      <alignment horizontal="center"/>
      <protection locked="0"/>
    </xf>
    <xf numFmtId="0" fontId="7" fillId="0" borderId="18" xfId="36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24" borderId="13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 wrapText="1"/>
    </xf>
    <xf numFmtId="0" fontId="0" fillId="23" borderId="22" xfId="0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28" borderId="16" xfId="0" applyFont="1" applyFill="1" applyBorder="1" applyAlignment="1">
      <alignment horizontal="center"/>
    </xf>
    <xf numFmtId="0" fontId="2" fillId="21" borderId="31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  <xf numFmtId="0" fontId="2" fillId="22" borderId="31" xfId="0" applyFont="1" applyFill="1" applyBorder="1" applyAlignment="1">
      <alignment horizontal="center"/>
    </xf>
    <xf numFmtId="0" fontId="2" fillId="22" borderId="27" xfId="0" applyFont="1" applyFill="1" applyBorder="1" applyAlignment="1">
      <alignment horizontal="center"/>
    </xf>
    <xf numFmtId="0" fontId="17" fillId="21" borderId="19" xfId="0" applyFont="1" applyFill="1" applyBorder="1" applyAlignment="1" applyProtection="1">
      <alignment horizontal="center"/>
      <protection locked="0"/>
    </xf>
    <xf numFmtId="0" fontId="17" fillId="21" borderId="20" xfId="0" applyFont="1" applyFill="1" applyBorder="1" applyAlignment="1" applyProtection="1">
      <alignment horizontal="center"/>
      <protection locked="0"/>
    </xf>
    <xf numFmtId="0" fontId="17" fillId="22" borderId="19" xfId="0" applyFont="1" applyFill="1" applyBorder="1" applyAlignment="1" applyProtection="1">
      <alignment horizontal="center"/>
      <protection locked="0"/>
    </xf>
    <xf numFmtId="0" fontId="17" fillId="22" borderId="2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8" xfId="0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1" borderId="35" xfId="0" applyFont="1" applyFill="1" applyBorder="1" applyAlignment="1">
      <alignment horizontal="center"/>
    </xf>
    <xf numFmtId="0" fontId="20" fillId="21" borderId="15" xfId="0" applyFont="1" applyFill="1" applyBorder="1" applyAlignment="1">
      <alignment horizontal="center"/>
    </xf>
    <xf numFmtId="0" fontId="20" fillId="21" borderId="32" xfId="0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/>
    </xf>
    <xf numFmtId="0" fontId="20" fillId="22" borderId="32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0" fillId="23" borderId="17" xfId="0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0" fontId="20" fillId="21" borderId="19" xfId="0" applyFont="1" applyFill="1" applyBorder="1" applyAlignment="1">
      <alignment horizontal="center"/>
    </xf>
    <xf numFmtId="0" fontId="20" fillId="21" borderId="2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36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0" fillId="23" borderId="16" xfId="0" applyFill="1" applyBorder="1" applyAlignment="1">
      <alignment horizontal="right"/>
    </xf>
    <xf numFmtId="0" fontId="0" fillId="31" borderId="16" xfId="0" applyFill="1" applyBorder="1" applyAlignment="1">
      <alignment horizontal="center"/>
    </xf>
    <xf numFmtId="0" fontId="17" fillId="21" borderId="33" xfId="0" applyFont="1" applyFill="1" applyBorder="1" applyAlignment="1" applyProtection="1">
      <alignment horizontal="center"/>
    </xf>
    <xf numFmtId="0" fontId="17" fillId="21" borderId="34" xfId="0" applyFont="1" applyFill="1" applyBorder="1" applyAlignment="1" applyProtection="1">
      <alignment horizontal="center"/>
    </xf>
    <xf numFmtId="0" fontId="17" fillId="21" borderId="15" xfId="0" applyFont="1" applyFill="1" applyBorder="1" applyAlignment="1" applyProtection="1">
      <alignment horizontal="center"/>
    </xf>
    <xf numFmtId="0" fontId="17" fillId="21" borderId="32" xfId="0" applyFont="1" applyFill="1" applyBorder="1" applyAlignment="1" applyProtection="1">
      <alignment horizontal="center"/>
    </xf>
    <xf numFmtId="0" fontId="0" fillId="25" borderId="13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3" fillId="29" borderId="0" xfId="0" applyFont="1" applyFill="1" applyAlignment="1">
      <alignment horizontal="center"/>
    </xf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56</xdr:row>
      <xdr:rowOff>104775</xdr:rowOff>
    </xdr:from>
    <xdr:to>
      <xdr:col>8</xdr:col>
      <xdr:colOff>219075</xdr:colOff>
      <xdr:row>64</xdr:row>
      <xdr:rowOff>47625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B8469D99-99EF-43B2-A70C-82AFA947A781}"/>
            </a:ext>
          </a:extLst>
        </xdr:cNvPr>
        <xdr:cNvSpPr txBox="1">
          <a:spLocks noChangeArrowheads="1"/>
        </xdr:cNvSpPr>
      </xdr:nvSpPr>
      <xdr:spPr bwMode="auto">
        <a:xfrm>
          <a:off x="38100" y="9820275"/>
          <a:ext cx="5133975" cy="1285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5400" tIns="0" rIns="2540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“The data, while believed to be accurate and based on analytical methods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considered to be reliable, is for information purposes only.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Any sales of these products will be governed by the terms and conditions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of the agreement under which they are sold.”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Bulletin #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59</xdr:row>
      <xdr:rowOff>0</xdr:rowOff>
    </xdr:from>
    <xdr:to>
      <xdr:col>8</xdr:col>
      <xdr:colOff>304800</xdr:colOff>
      <xdr:row>67</xdr:row>
      <xdr:rowOff>152400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3FA8F713-B518-4789-A529-50F5E2A4E1EE}"/>
            </a:ext>
          </a:extLst>
        </xdr:cNvPr>
        <xdr:cNvSpPr txBox="1">
          <a:spLocks noChangeArrowheads="1"/>
        </xdr:cNvSpPr>
      </xdr:nvSpPr>
      <xdr:spPr bwMode="auto">
        <a:xfrm>
          <a:off x="123825" y="10125075"/>
          <a:ext cx="5133975" cy="1514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5400" tIns="0" rIns="2540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“The data, while believed to be accurate and based on analytical methods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considered to be reliable, is for information purposes only.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Any sales of these products will be governed by the terms and conditions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of the agreement under which they are sold.”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Bulletin #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123825</xdr:rowOff>
    </xdr:from>
    <xdr:to>
      <xdr:col>8</xdr:col>
      <xdr:colOff>180975</xdr:colOff>
      <xdr:row>55</xdr:row>
      <xdr:rowOff>152400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C3BA841C-B374-405B-918D-F5915346DABB}"/>
            </a:ext>
          </a:extLst>
        </xdr:cNvPr>
        <xdr:cNvSpPr txBox="1">
          <a:spLocks noChangeArrowheads="1"/>
        </xdr:cNvSpPr>
      </xdr:nvSpPr>
      <xdr:spPr bwMode="auto">
        <a:xfrm>
          <a:off x="0" y="8391525"/>
          <a:ext cx="5133975" cy="1304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5400" tIns="0" rIns="2540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“The data, while believed to be accurate and based on analytical methods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considered to be reliable, is for information purposes only.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Any sales of these products will be governed by the terms and conditions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of the agreement under which they are sold.”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Bulletin #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123825</xdr:rowOff>
    </xdr:from>
    <xdr:to>
      <xdr:col>8</xdr:col>
      <xdr:colOff>180975</xdr:colOff>
      <xdr:row>55</xdr:row>
      <xdr:rowOff>152400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661D8EA7-034E-418A-A65C-D1DC8C469A52}"/>
            </a:ext>
          </a:extLst>
        </xdr:cNvPr>
        <xdr:cNvSpPr txBox="1">
          <a:spLocks noChangeArrowheads="1"/>
        </xdr:cNvSpPr>
      </xdr:nvSpPr>
      <xdr:spPr bwMode="auto">
        <a:xfrm>
          <a:off x="0" y="8401050"/>
          <a:ext cx="513397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5400" tIns="0" rIns="2540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“The data, while believed to be accurate and based on analytical methods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considered to be reliable, is for information purposes only.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Any sales of these products will be governed by the terms and conditions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of the agreement under which they are sold.”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Bulletin #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pageSetUpPr fitToPage="1"/>
  </sheetPr>
  <dimension ref="A1:AJ76"/>
  <sheetViews>
    <sheetView showGridLines="0" zoomScale="75" workbookViewId="0">
      <selection activeCell="C13" sqref="C13:D13"/>
    </sheetView>
  </sheetViews>
  <sheetFormatPr defaultRowHeight="12.75" x14ac:dyDescent="0.2"/>
  <cols>
    <col min="1" max="1" width="2.140625" customWidth="1"/>
    <col min="2" max="2" width="23.85546875" customWidth="1"/>
    <col min="3" max="4" width="9.7109375" customWidth="1"/>
    <col min="5" max="5" width="4.7109375" customWidth="1"/>
    <col min="6" max="7" width="9.7109375" customWidth="1"/>
    <col min="8" max="8" width="4.7109375" customWidth="1"/>
    <col min="9" max="10" width="9.7109375" customWidth="1"/>
    <col min="11" max="11" width="4.7109375" customWidth="1"/>
    <col min="12" max="13" width="9.7109375" customWidth="1"/>
    <col min="14" max="14" width="4.7109375" customWidth="1"/>
    <col min="15" max="16" width="9.7109375" customWidth="1"/>
    <col min="17" max="17" width="4.7109375" customWidth="1"/>
    <col min="18" max="19" width="9.7109375" customWidth="1"/>
    <col min="20" max="20" width="4.7109375" customWidth="1"/>
    <col min="21" max="24" width="1.5703125" customWidth="1"/>
    <col min="25" max="25" width="7.42578125" customWidth="1"/>
    <col min="26" max="26" width="72.140625" customWidth="1"/>
    <col min="27" max="27" width="10.28515625" customWidth="1"/>
    <col min="28" max="28" width="10.85546875" bestFit="1" customWidth="1"/>
  </cols>
  <sheetData>
    <row r="1" spans="1:36" ht="15.75" x14ac:dyDescent="0.25">
      <c r="A1" s="150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ht="15.75" x14ac:dyDescent="0.25">
      <c r="A2" s="152" t="s">
        <v>142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15"/>
      <c r="V2" s="115"/>
      <c r="W2" s="115"/>
      <c r="X2" s="115"/>
      <c r="Y2" s="115"/>
    </row>
    <row r="3" spans="1:36" ht="15.75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36" ht="13.5" thickBot="1" x14ac:dyDescent="0.25">
      <c r="A4" s="119" t="s">
        <v>124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36" ht="13.5" thickBot="1" x14ac:dyDescent="0.25">
      <c r="AA5" s="58" t="s">
        <v>0</v>
      </c>
      <c r="AB5" s="2"/>
      <c r="AC5" s="2"/>
      <c r="AD5" s="2"/>
      <c r="AE5" s="2"/>
      <c r="AH5" s="2"/>
      <c r="AI5" s="2"/>
      <c r="AJ5" s="2"/>
    </row>
    <row r="6" spans="1:36" x14ac:dyDescent="0.2">
      <c r="B6" t="s">
        <v>144</v>
      </c>
      <c r="AA6" s="27"/>
      <c r="AB6" s="30"/>
      <c r="AC6" s="30"/>
      <c r="AD6" s="30"/>
      <c r="AE6" s="42"/>
      <c r="AF6" s="43"/>
      <c r="AG6" s="44"/>
      <c r="AH6" s="42"/>
      <c r="AI6" s="42"/>
      <c r="AJ6" s="45"/>
    </row>
    <row r="7" spans="1:36" ht="15" x14ac:dyDescent="0.25">
      <c r="B7" t="s">
        <v>123</v>
      </c>
      <c r="AA7" s="60"/>
      <c r="AB7" s="31" t="s">
        <v>37</v>
      </c>
      <c r="AC7" s="32" t="s">
        <v>19</v>
      </c>
      <c r="AD7" s="33" t="s">
        <v>38</v>
      </c>
      <c r="AE7" s="46" t="s">
        <v>41</v>
      </c>
      <c r="AF7" s="47" t="s">
        <v>90</v>
      </c>
      <c r="AG7" s="48" t="s">
        <v>91</v>
      </c>
      <c r="AH7" s="49" t="s">
        <v>42</v>
      </c>
      <c r="AI7" s="49" t="s">
        <v>43</v>
      </c>
      <c r="AJ7" s="49" t="s">
        <v>20</v>
      </c>
    </row>
    <row r="8" spans="1:36" x14ac:dyDescent="0.2">
      <c r="AA8" s="28" t="s">
        <v>21</v>
      </c>
      <c r="AB8" s="34" t="s">
        <v>22</v>
      </c>
      <c r="AC8" s="35" t="s">
        <v>23</v>
      </c>
      <c r="AD8" s="132" t="s">
        <v>40</v>
      </c>
      <c r="AE8" s="50" t="s">
        <v>24</v>
      </c>
      <c r="AF8" s="50" t="s">
        <v>92</v>
      </c>
      <c r="AG8" s="50" t="s">
        <v>92</v>
      </c>
      <c r="AH8" s="50" t="s">
        <v>25</v>
      </c>
      <c r="AI8" s="50" t="s">
        <v>25</v>
      </c>
      <c r="AJ8" s="50" t="s">
        <v>26</v>
      </c>
    </row>
    <row r="9" spans="1:36" x14ac:dyDescent="0.2">
      <c r="B9" s="118" t="s">
        <v>6</v>
      </c>
      <c r="C9" s="151"/>
      <c r="D9" s="151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AA9" s="1"/>
      <c r="AB9" s="36" t="s">
        <v>39</v>
      </c>
      <c r="AC9" s="37" t="s">
        <v>114</v>
      </c>
      <c r="AD9" s="133"/>
      <c r="AE9" s="51" t="s">
        <v>28</v>
      </c>
      <c r="AF9" s="51" t="s">
        <v>29</v>
      </c>
      <c r="AG9" s="51" t="s">
        <v>30</v>
      </c>
      <c r="AH9" s="51" t="s">
        <v>29</v>
      </c>
      <c r="AI9" s="51" t="s">
        <v>30</v>
      </c>
      <c r="AJ9" s="51" t="s">
        <v>31</v>
      </c>
    </row>
    <row r="10" spans="1:36" ht="15.75" thickBot="1" x14ac:dyDescent="0.3">
      <c r="B10" s="15"/>
      <c r="C10" s="142" t="s">
        <v>9</v>
      </c>
      <c r="D10" s="143"/>
      <c r="E10" s="6"/>
      <c r="F10" s="144" t="s">
        <v>10</v>
      </c>
      <c r="G10" s="145"/>
      <c r="H10" s="4"/>
      <c r="I10" s="142" t="s">
        <v>11</v>
      </c>
      <c r="J10" s="143"/>
      <c r="K10" s="4"/>
      <c r="L10" s="144" t="s">
        <v>12</v>
      </c>
      <c r="M10" s="145"/>
      <c r="N10" s="4"/>
      <c r="O10" s="142" t="s">
        <v>13</v>
      </c>
      <c r="P10" s="143"/>
      <c r="Q10" s="4"/>
      <c r="R10" s="144" t="s">
        <v>14</v>
      </c>
      <c r="S10" s="145"/>
      <c r="AA10" s="61"/>
      <c r="AB10" s="38" t="s">
        <v>32</v>
      </c>
      <c r="AC10" s="39" t="s">
        <v>33</v>
      </c>
      <c r="AD10" s="39" t="s">
        <v>34</v>
      </c>
      <c r="AE10" s="52"/>
      <c r="AF10" s="52" t="s">
        <v>35</v>
      </c>
      <c r="AG10" s="92" t="s">
        <v>35</v>
      </c>
      <c r="AH10" s="52" t="s">
        <v>35</v>
      </c>
      <c r="AI10" s="52" t="s">
        <v>35</v>
      </c>
      <c r="AJ10" s="52" t="s">
        <v>36</v>
      </c>
    </row>
    <row r="11" spans="1:36" x14ac:dyDescent="0.2">
      <c r="B11" s="12" t="s">
        <v>93</v>
      </c>
      <c r="C11" s="146">
        <v>47000</v>
      </c>
      <c r="D11" s="147"/>
      <c r="E11" s="3"/>
      <c r="F11" s="148">
        <v>25</v>
      </c>
      <c r="G11" s="149"/>
      <c r="H11" s="5"/>
      <c r="I11" s="146">
        <v>50</v>
      </c>
      <c r="J11" s="147"/>
      <c r="K11" s="5"/>
      <c r="L11" s="148">
        <v>100</v>
      </c>
      <c r="M11" s="149"/>
      <c r="N11" s="5"/>
      <c r="O11" s="146">
        <v>2500</v>
      </c>
      <c r="P11" s="147"/>
      <c r="Q11" s="5"/>
      <c r="R11" s="148">
        <v>5000</v>
      </c>
      <c r="S11" s="149"/>
      <c r="AA11" s="29">
        <v>1</v>
      </c>
      <c r="AB11" s="40">
        <v>25</v>
      </c>
      <c r="AC11" s="40">
        <f>6.407*POWER(AD11, -0.5478)</f>
        <v>0.42635686668632283</v>
      </c>
      <c r="AD11" s="41">
        <f>($C$12/6.407)^(1/0.4522)</f>
        <v>140.72718112018336</v>
      </c>
      <c r="AE11" s="86">
        <f t="shared" ref="AE11:AE16" si="0">$C$11/AB11</f>
        <v>1880</v>
      </c>
      <c r="AF11" s="54">
        <f t="shared" ref="AF11:AF16" si="1">($C$21+$C$22/AE11)*100/($C$13-4.9)</f>
        <v>9.8091364205256575</v>
      </c>
      <c r="AG11" s="53">
        <f t="shared" ref="AG11:AG16" si="2">AF11*AE11</f>
        <v>18441.176470588238</v>
      </c>
      <c r="AH11" s="55">
        <f t="shared" ref="AH11:AH16" si="3">SQRT(AD11/AE11)</f>
        <v>0.27359620533656093</v>
      </c>
      <c r="AI11" s="56">
        <f t="shared" ref="AI11:AI16" si="4">(AH11*AE11)</f>
        <v>514.36086603273452</v>
      </c>
      <c r="AJ11" s="57">
        <f t="shared" ref="AJ11:AJ16" si="5">(($C$21/AH11)+($C$22/AI11))*100+5</f>
        <v>187.84828067385388</v>
      </c>
    </row>
    <row r="12" spans="1:36" x14ac:dyDescent="0.2">
      <c r="B12" s="12" t="s">
        <v>94</v>
      </c>
      <c r="C12" s="126">
        <v>60</v>
      </c>
      <c r="D12" s="127"/>
      <c r="E12" s="3"/>
      <c r="F12" s="128">
        <v>60</v>
      </c>
      <c r="G12" s="129"/>
      <c r="H12" s="5"/>
      <c r="I12" s="126">
        <v>60</v>
      </c>
      <c r="J12" s="127"/>
      <c r="K12" s="5"/>
      <c r="L12" s="128">
        <v>60</v>
      </c>
      <c r="M12" s="129"/>
      <c r="N12" s="5"/>
      <c r="O12" s="126">
        <v>60</v>
      </c>
      <c r="P12" s="127"/>
      <c r="Q12" s="5"/>
      <c r="R12" s="128">
        <v>60</v>
      </c>
      <c r="S12" s="129"/>
      <c r="AA12" s="29">
        <v>2</v>
      </c>
      <c r="AB12" s="40">
        <v>50</v>
      </c>
      <c r="AC12" s="40">
        <f>5.126*POWER(AD12, -0.5478)</f>
        <v>0.26033967081185549</v>
      </c>
      <c r="AD12" s="41">
        <f>($C$12/5.126)^(1/0.4522)</f>
        <v>230.46814115149328</v>
      </c>
      <c r="AE12" s="86">
        <f t="shared" si="0"/>
        <v>940</v>
      </c>
      <c r="AF12" s="54">
        <f t="shared" si="1"/>
        <v>9.8143512724238633</v>
      </c>
      <c r="AG12" s="53">
        <f t="shared" si="2"/>
        <v>9225.4901960784318</v>
      </c>
      <c r="AH12" s="55">
        <f t="shared" si="3"/>
        <v>0.49515540344968306</v>
      </c>
      <c r="AI12" s="56">
        <f t="shared" si="4"/>
        <v>465.44607924270207</v>
      </c>
      <c r="AJ12" s="57">
        <f t="shared" si="5"/>
        <v>106.08582303787385</v>
      </c>
    </row>
    <row r="13" spans="1:36" x14ac:dyDescent="0.2">
      <c r="B13" s="12" t="s">
        <v>95</v>
      </c>
      <c r="C13" s="126">
        <v>10</v>
      </c>
      <c r="D13" s="127"/>
      <c r="E13" s="87"/>
      <c r="F13" s="128">
        <v>10</v>
      </c>
      <c r="G13" s="129"/>
      <c r="H13" s="88"/>
      <c r="I13" s="126">
        <v>10</v>
      </c>
      <c r="J13" s="127"/>
      <c r="K13" s="88"/>
      <c r="L13" s="128">
        <v>15</v>
      </c>
      <c r="M13" s="129"/>
      <c r="N13" s="88"/>
      <c r="O13" s="126">
        <v>15</v>
      </c>
      <c r="P13" s="127"/>
      <c r="Q13" s="88"/>
      <c r="R13" s="128">
        <v>20</v>
      </c>
      <c r="S13" s="129"/>
      <c r="AA13" s="29">
        <v>3</v>
      </c>
      <c r="AB13" s="40">
        <v>75</v>
      </c>
      <c r="AC13" s="40">
        <f>5.126*POWER(AD13, -0.5478)</f>
        <v>0.26033967081185549</v>
      </c>
      <c r="AD13" s="41">
        <f>($C$12/5.126)^(1/0.4522)</f>
        <v>230.46814115149328</v>
      </c>
      <c r="AE13" s="86">
        <f t="shared" si="0"/>
        <v>626.66666666666663</v>
      </c>
      <c r="AF13" s="54">
        <f t="shared" si="1"/>
        <v>9.8195661243220691</v>
      </c>
      <c r="AG13" s="53">
        <f t="shared" si="2"/>
        <v>6153.5947712418292</v>
      </c>
      <c r="AH13" s="55">
        <f t="shared" si="3"/>
        <v>0.60643904091683254</v>
      </c>
      <c r="AI13" s="56">
        <f t="shared" si="4"/>
        <v>380.03513230788172</v>
      </c>
      <c r="AJ13" s="57">
        <f t="shared" si="5"/>
        <v>87.580084485211316</v>
      </c>
    </row>
    <row r="14" spans="1:36" x14ac:dyDescent="0.2">
      <c r="H14" s="130"/>
      <c r="I14" s="130"/>
      <c r="J14" s="130"/>
      <c r="K14" s="130"/>
      <c r="L14" s="130"/>
      <c r="M14" s="130"/>
      <c r="N14" s="130"/>
      <c r="O14" s="130"/>
      <c r="P14" s="130"/>
      <c r="S14" s="26"/>
      <c r="AA14" s="29">
        <v>4</v>
      </c>
      <c r="AB14" s="40">
        <v>100</v>
      </c>
      <c r="AC14" s="40">
        <f>3.844*POWER(AD14, -0.5478)</f>
        <v>0.13776045089916994</v>
      </c>
      <c r="AD14" s="41">
        <f>($C$12/3.844)^(1/0.4522)</f>
        <v>435.53864413463185</v>
      </c>
      <c r="AE14" s="86">
        <f t="shared" si="0"/>
        <v>470</v>
      </c>
      <c r="AF14" s="54">
        <f t="shared" si="1"/>
        <v>9.8247809762202767</v>
      </c>
      <c r="AG14" s="53">
        <f t="shared" si="2"/>
        <v>4617.6470588235297</v>
      </c>
      <c r="AH14" s="55">
        <f t="shared" si="3"/>
        <v>0.96264114094708086</v>
      </c>
      <c r="AI14" s="56">
        <f t="shared" si="4"/>
        <v>452.44133624512801</v>
      </c>
      <c r="AJ14" s="57">
        <f t="shared" si="5"/>
        <v>57.050946970152303</v>
      </c>
    </row>
    <row r="15" spans="1:36" x14ac:dyDescent="0.2">
      <c r="A15" s="119" t="s">
        <v>122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AA15" s="29">
        <v>5</v>
      </c>
      <c r="AB15" s="40">
        <v>250</v>
      </c>
      <c r="AC15" s="40">
        <f>3.844*POWER(AD15, -0.5478)</f>
        <v>0.13776045089916994</v>
      </c>
      <c r="AD15" s="41">
        <f>($C$12/3.844)^(1/0.4522)</f>
        <v>435.53864413463185</v>
      </c>
      <c r="AE15" s="86">
        <f t="shared" si="0"/>
        <v>188</v>
      </c>
      <c r="AF15" s="54">
        <f t="shared" si="1"/>
        <v>9.8560700876095115</v>
      </c>
      <c r="AG15" s="53">
        <f t="shared" si="2"/>
        <v>1852.9411764705881</v>
      </c>
      <c r="AH15" s="55">
        <f t="shared" si="3"/>
        <v>1.5220692873879771</v>
      </c>
      <c r="AI15" s="56">
        <f t="shared" si="4"/>
        <v>286.14902602893972</v>
      </c>
      <c r="AJ15" s="57">
        <f t="shared" si="5"/>
        <v>38.024749834529487</v>
      </c>
    </row>
    <row r="16" spans="1:36" ht="13.5" thickBot="1" x14ac:dyDescent="0.25">
      <c r="AA16" s="29">
        <v>6</v>
      </c>
      <c r="AB16" s="40">
        <v>1000</v>
      </c>
      <c r="AC16" s="40">
        <f>6.047*POWER(AD16, -0.5478)</f>
        <v>0.40240049521651222</v>
      </c>
      <c r="AD16" s="41">
        <f>($C$12/6.407)^(1/0.4522)</f>
        <v>140.72718112018336</v>
      </c>
      <c r="AE16" s="86">
        <f t="shared" si="0"/>
        <v>47</v>
      </c>
      <c r="AF16" s="54">
        <f t="shared" si="1"/>
        <v>10.012515644555695</v>
      </c>
      <c r="AG16" s="53">
        <f t="shared" si="2"/>
        <v>470.58823529411762</v>
      </c>
      <c r="AH16" s="55">
        <f t="shared" si="3"/>
        <v>1.7303743360852948</v>
      </c>
      <c r="AI16" s="56">
        <f t="shared" si="4"/>
        <v>81.327593796008856</v>
      </c>
      <c r="AJ16" s="57">
        <f t="shared" si="5"/>
        <v>34.510279205110081</v>
      </c>
    </row>
    <row r="17" spans="1:36" ht="13.5" thickBot="1" x14ac:dyDescent="0.25">
      <c r="B17" t="s">
        <v>130</v>
      </c>
      <c r="AA17" s="59" t="s">
        <v>1</v>
      </c>
      <c r="AB17" s="2"/>
      <c r="AC17" s="2"/>
      <c r="AD17" s="2"/>
      <c r="AE17" s="2"/>
      <c r="AH17" s="2"/>
      <c r="AI17" s="2"/>
      <c r="AJ17" s="2"/>
    </row>
    <row r="18" spans="1:36" x14ac:dyDescent="0.2">
      <c r="AA18" s="27"/>
      <c r="AB18" s="30"/>
      <c r="AC18" s="30"/>
      <c r="AD18" s="30"/>
      <c r="AE18" s="42"/>
      <c r="AF18" s="43"/>
      <c r="AG18" s="44"/>
      <c r="AH18" s="42"/>
      <c r="AI18" s="42"/>
      <c r="AJ18" s="45"/>
    </row>
    <row r="19" spans="1:36" ht="14.25" x14ac:dyDescent="0.25">
      <c r="B19" s="118" t="s">
        <v>8</v>
      </c>
      <c r="C19" s="131"/>
      <c r="D19" s="131"/>
      <c r="AA19" s="60"/>
      <c r="AB19" s="31" t="s">
        <v>37</v>
      </c>
      <c r="AC19" s="32" t="s">
        <v>19</v>
      </c>
      <c r="AD19" s="33" t="s">
        <v>38</v>
      </c>
      <c r="AE19" s="46" t="s">
        <v>41</v>
      </c>
      <c r="AF19" s="47" t="s">
        <v>90</v>
      </c>
      <c r="AG19" s="48" t="s">
        <v>91</v>
      </c>
      <c r="AH19" s="49" t="s">
        <v>42</v>
      </c>
      <c r="AI19" s="49" t="s">
        <v>43</v>
      </c>
      <c r="AJ19" s="49" t="s">
        <v>20</v>
      </c>
    </row>
    <row r="20" spans="1:36" ht="13.5" thickBot="1" x14ac:dyDescent="0.25">
      <c r="B20" s="15"/>
      <c r="C20" s="142" t="s">
        <v>131</v>
      </c>
      <c r="D20" s="143"/>
      <c r="AA20" s="28" t="s">
        <v>21</v>
      </c>
      <c r="AB20" s="34" t="s">
        <v>22</v>
      </c>
      <c r="AC20" s="35" t="s">
        <v>23</v>
      </c>
      <c r="AD20" s="132" t="s">
        <v>40</v>
      </c>
      <c r="AE20" s="50" t="s">
        <v>24</v>
      </c>
      <c r="AF20" s="50" t="s">
        <v>92</v>
      </c>
      <c r="AG20" s="50" t="s">
        <v>92</v>
      </c>
      <c r="AH20" s="50" t="s">
        <v>25</v>
      </c>
      <c r="AI20" s="50" t="s">
        <v>25</v>
      </c>
      <c r="AJ20" s="50" t="s">
        <v>26</v>
      </c>
    </row>
    <row r="21" spans="1:36" x14ac:dyDescent="0.2">
      <c r="B21" s="12" t="s">
        <v>117</v>
      </c>
      <c r="C21" s="124">
        <v>0.5</v>
      </c>
      <c r="D21" s="125"/>
      <c r="AA21" s="1"/>
      <c r="AB21" s="36" t="s">
        <v>39</v>
      </c>
      <c r="AC21" s="37" t="s">
        <v>114</v>
      </c>
      <c r="AD21" s="133"/>
      <c r="AE21" s="51" t="s">
        <v>28</v>
      </c>
      <c r="AF21" s="51" t="s">
        <v>29</v>
      </c>
      <c r="AG21" s="51" t="s">
        <v>30</v>
      </c>
      <c r="AH21" s="51" t="s">
        <v>29</v>
      </c>
      <c r="AI21" s="51" t="s">
        <v>30</v>
      </c>
      <c r="AJ21" s="51" t="s">
        <v>31</v>
      </c>
    </row>
    <row r="22" spans="1:36" ht="15" thickBot="1" x14ac:dyDescent="0.25">
      <c r="B22" s="12" t="s">
        <v>118</v>
      </c>
      <c r="C22" s="126">
        <v>0.5</v>
      </c>
      <c r="D22" s="127"/>
      <c r="AA22" s="61"/>
      <c r="AB22" s="38" t="s">
        <v>32</v>
      </c>
      <c r="AC22" s="39" t="s">
        <v>33</v>
      </c>
      <c r="AD22" s="39" t="s">
        <v>34</v>
      </c>
      <c r="AE22" s="52"/>
      <c r="AF22" s="52" t="s">
        <v>35</v>
      </c>
      <c r="AG22" s="52" t="s">
        <v>35</v>
      </c>
      <c r="AH22" s="52" t="s">
        <v>35</v>
      </c>
      <c r="AI22" s="52" t="s">
        <v>35</v>
      </c>
      <c r="AJ22" s="52" t="s">
        <v>36</v>
      </c>
    </row>
    <row r="23" spans="1:36" ht="13.5" thickTop="1" x14ac:dyDescent="0.2">
      <c r="AA23" s="29">
        <v>1</v>
      </c>
      <c r="AB23" s="40">
        <v>25</v>
      </c>
      <c r="AC23" s="40">
        <f>6.407*POWER(AD23, -0.5478)</f>
        <v>0.42635686668632283</v>
      </c>
      <c r="AD23" s="41">
        <f>($F$12/6.407)^(1/0.4522)</f>
        <v>140.72718112018336</v>
      </c>
      <c r="AE23" s="53">
        <f t="shared" ref="AE23:AE28" si="6">$F$11/AB23</f>
        <v>1</v>
      </c>
      <c r="AF23" s="54">
        <f t="shared" ref="AF23:AF28" si="7">($C$21+$C$22/AE23)*100/($F$13-4.9)</f>
        <v>19.607843137254903</v>
      </c>
      <c r="AG23" s="53">
        <f t="shared" ref="AG23:AG28" si="8">AF23*AE23</f>
        <v>19.607843137254903</v>
      </c>
      <c r="AH23" s="55">
        <f t="shared" ref="AH23:AH28" si="9">SQRT(AD23/AE23)</f>
        <v>11.862848777599053</v>
      </c>
      <c r="AI23" s="56">
        <f t="shared" ref="AI23:AI28" si="10">(AH23*AE23)</f>
        <v>11.862848777599053</v>
      </c>
      <c r="AJ23" s="57">
        <f t="shared" ref="AJ23:AJ28" si="11">(($C$21/AH23)+($C$22/AI23))*100+5</f>
        <v>13.429678391318008</v>
      </c>
    </row>
    <row r="24" spans="1:36" ht="14.25" customHeight="1" x14ac:dyDescent="0.2">
      <c r="AA24" s="29">
        <v>2</v>
      </c>
      <c r="AB24" s="40">
        <v>50</v>
      </c>
      <c r="AC24" s="40">
        <f>5.126*POWER(AD24, -0.5478)</f>
        <v>0.26033967081185549</v>
      </c>
      <c r="AD24" s="41">
        <f>($F$12/5.126)^(1/0.4522)</f>
        <v>230.46814115149328</v>
      </c>
      <c r="AE24" s="53">
        <f t="shared" si="6"/>
        <v>0.5</v>
      </c>
      <c r="AF24" s="54">
        <f t="shared" si="7"/>
        <v>29.411764705882355</v>
      </c>
      <c r="AG24" s="53">
        <f t="shared" si="8"/>
        <v>14.705882352941178</v>
      </c>
      <c r="AH24" s="55">
        <f t="shared" si="9"/>
        <v>21.469426687803907</v>
      </c>
      <c r="AI24" s="56">
        <f t="shared" si="10"/>
        <v>10.734713343901953</v>
      </c>
      <c r="AJ24" s="57">
        <f t="shared" si="11"/>
        <v>11.986679345527666</v>
      </c>
    </row>
    <row r="25" spans="1:36" x14ac:dyDescent="0.2">
      <c r="A25" s="119" t="s">
        <v>119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AA25" s="29">
        <v>3</v>
      </c>
      <c r="AB25" s="40">
        <v>75</v>
      </c>
      <c r="AC25" s="40">
        <f>5.126*POWER(AD25, -0.5478)</f>
        <v>0.26033967081185549</v>
      </c>
      <c r="AD25" s="41">
        <f>($F$12/5.126)^(1/0.4522)</f>
        <v>230.46814115149328</v>
      </c>
      <c r="AE25" s="53">
        <f t="shared" si="6"/>
        <v>0.33333333333333331</v>
      </c>
      <c r="AF25" s="54">
        <f t="shared" si="7"/>
        <v>39.215686274509807</v>
      </c>
      <c r="AG25" s="53">
        <f t="shared" si="8"/>
        <v>13.071895424836601</v>
      </c>
      <c r="AH25" s="55">
        <f t="shared" si="9"/>
        <v>26.294570227605544</v>
      </c>
      <c r="AI25" s="56">
        <f t="shared" si="10"/>
        <v>8.76485674253518</v>
      </c>
      <c r="AJ25" s="57">
        <f t="shared" si="11"/>
        <v>12.606133063548937</v>
      </c>
    </row>
    <row r="26" spans="1:36" x14ac:dyDescent="0.2">
      <c r="AA26" s="29">
        <v>4</v>
      </c>
      <c r="AB26" s="40">
        <v>100</v>
      </c>
      <c r="AC26" s="40">
        <f>3.844*POWER(AD26, -0.5478)</f>
        <v>0.13776045089916994</v>
      </c>
      <c r="AD26" s="41">
        <f>($F$12/3.844)^(1/0.4522)</f>
        <v>435.53864413463185</v>
      </c>
      <c r="AE26" s="53">
        <f t="shared" si="6"/>
        <v>0.25</v>
      </c>
      <c r="AF26" s="54">
        <f t="shared" si="7"/>
        <v>49.019607843137258</v>
      </c>
      <c r="AG26" s="53">
        <f t="shared" si="8"/>
        <v>12.254901960784315</v>
      </c>
      <c r="AH26" s="55">
        <f t="shared" si="9"/>
        <v>41.739125248842093</v>
      </c>
      <c r="AI26" s="56">
        <f t="shared" si="10"/>
        <v>10.434781312210523</v>
      </c>
      <c r="AJ26" s="57">
        <f t="shared" si="11"/>
        <v>10.98958407751814</v>
      </c>
    </row>
    <row r="27" spans="1:36" x14ac:dyDescent="0.2">
      <c r="B27" t="s">
        <v>115</v>
      </c>
      <c r="AA27" s="29">
        <v>5</v>
      </c>
      <c r="AB27" s="40">
        <v>250</v>
      </c>
      <c r="AC27" s="40">
        <f>3.844*POWER(AD27, -0.5478)</f>
        <v>0.13776045089916994</v>
      </c>
      <c r="AD27" s="41">
        <f>($F$12/3.844)^(1/0.4522)</f>
        <v>435.53864413463185</v>
      </c>
      <c r="AE27" s="86">
        <f t="shared" si="6"/>
        <v>0.1</v>
      </c>
      <c r="AF27" s="54">
        <f t="shared" si="7"/>
        <v>107.84313725490196</v>
      </c>
      <c r="AG27" s="53">
        <f t="shared" si="8"/>
        <v>10.784313725490197</v>
      </c>
      <c r="AH27" s="55">
        <f t="shared" si="9"/>
        <v>65.99535166469164</v>
      </c>
      <c r="AI27" s="56">
        <f t="shared" si="10"/>
        <v>6.5995351664691642</v>
      </c>
      <c r="AJ27" s="57">
        <f t="shared" si="11"/>
        <v>13.333920285695772</v>
      </c>
    </row>
    <row r="28" spans="1:36" ht="13.5" thickBot="1" x14ac:dyDescent="0.25">
      <c r="B28" t="s">
        <v>96</v>
      </c>
      <c r="AA28" s="29">
        <v>6</v>
      </c>
      <c r="AB28" s="40">
        <v>1000</v>
      </c>
      <c r="AC28" s="40">
        <f>6.047*POWER(AD28, -0.5478)</f>
        <v>0.40240049521651222</v>
      </c>
      <c r="AD28" s="41">
        <f>($F$12/6.407)^(1/0.4522)</f>
        <v>140.72718112018336</v>
      </c>
      <c r="AE28" s="86">
        <f t="shared" si="6"/>
        <v>2.5000000000000001E-2</v>
      </c>
      <c r="AF28" s="54">
        <f t="shared" si="7"/>
        <v>401.96078431372553</v>
      </c>
      <c r="AG28" s="53">
        <f t="shared" si="8"/>
        <v>10.049019607843139</v>
      </c>
      <c r="AH28" s="55">
        <f t="shared" si="9"/>
        <v>75.027243350714514</v>
      </c>
      <c r="AI28" s="56">
        <f t="shared" si="10"/>
        <v>1.875681083767863</v>
      </c>
      <c r="AJ28" s="57">
        <f t="shared" si="11"/>
        <v>32.323408250750788</v>
      </c>
    </row>
    <row r="29" spans="1:36" ht="13.5" thickBot="1" x14ac:dyDescent="0.25">
      <c r="AA29" s="58" t="s">
        <v>2</v>
      </c>
      <c r="AB29" s="2"/>
      <c r="AC29" s="2"/>
      <c r="AD29" s="2"/>
      <c r="AE29" s="2"/>
      <c r="AH29" s="2"/>
      <c r="AI29" s="2"/>
      <c r="AJ29" s="2"/>
    </row>
    <row r="30" spans="1:36" x14ac:dyDescent="0.2">
      <c r="B30" s="118" t="s">
        <v>16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AA30" s="27"/>
      <c r="AB30" s="30"/>
      <c r="AC30" s="30"/>
      <c r="AD30" s="30"/>
      <c r="AE30" s="42"/>
      <c r="AF30" s="43"/>
      <c r="AG30" s="44"/>
      <c r="AH30" s="42"/>
      <c r="AI30" s="42"/>
      <c r="AJ30" s="45"/>
    </row>
    <row r="31" spans="1:36" ht="14.25" x14ac:dyDescent="0.25">
      <c r="B31" s="134" t="s">
        <v>7</v>
      </c>
      <c r="C31" s="136" t="s">
        <v>9</v>
      </c>
      <c r="D31" s="137"/>
      <c r="E31" s="6"/>
      <c r="F31" s="138" t="s">
        <v>10</v>
      </c>
      <c r="G31" s="139"/>
      <c r="H31" s="4"/>
      <c r="I31" s="136" t="s">
        <v>11</v>
      </c>
      <c r="J31" s="137"/>
      <c r="K31" s="4"/>
      <c r="L31" s="138" t="s">
        <v>12</v>
      </c>
      <c r="M31" s="139"/>
      <c r="N31" s="4"/>
      <c r="O31" s="136" t="s">
        <v>13</v>
      </c>
      <c r="P31" s="137"/>
      <c r="Q31" s="4"/>
      <c r="R31" s="138" t="s">
        <v>14</v>
      </c>
      <c r="S31" s="139"/>
      <c r="T31" s="9"/>
      <c r="AA31" s="60"/>
      <c r="AB31" s="31" t="s">
        <v>18</v>
      </c>
      <c r="AC31" s="32" t="s">
        <v>19</v>
      </c>
      <c r="AD31" s="33" t="s">
        <v>38</v>
      </c>
      <c r="AE31" s="46" t="s">
        <v>41</v>
      </c>
      <c r="AF31" s="47" t="s">
        <v>90</v>
      </c>
      <c r="AG31" s="48" t="s">
        <v>91</v>
      </c>
      <c r="AH31" s="49" t="s">
        <v>42</v>
      </c>
      <c r="AI31" s="49" t="s">
        <v>43</v>
      </c>
      <c r="AJ31" s="49" t="s">
        <v>20</v>
      </c>
    </row>
    <row r="32" spans="1:36" ht="14.25" x14ac:dyDescent="0.25">
      <c r="B32" s="135"/>
      <c r="C32" s="10" t="s">
        <v>97</v>
      </c>
      <c r="D32" s="10" t="s">
        <v>98</v>
      </c>
      <c r="E32" s="7"/>
      <c r="F32" s="11" t="s">
        <v>99</v>
      </c>
      <c r="G32" s="11" t="s">
        <v>100</v>
      </c>
      <c r="H32" s="8"/>
      <c r="I32" s="10" t="s">
        <v>101</v>
      </c>
      <c r="J32" s="10" t="s">
        <v>102</v>
      </c>
      <c r="K32" s="8"/>
      <c r="L32" s="11" t="s">
        <v>103</v>
      </c>
      <c r="M32" s="11" t="s">
        <v>104</v>
      </c>
      <c r="N32" s="8"/>
      <c r="O32" s="10" t="s">
        <v>105</v>
      </c>
      <c r="P32" s="10" t="s">
        <v>106</v>
      </c>
      <c r="Q32" s="8"/>
      <c r="R32" s="11" t="s">
        <v>107</v>
      </c>
      <c r="S32" s="11" t="s">
        <v>108</v>
      </c>
      <c r="T32" s="5"/>
      <c r="AA32" s="28" t="s">
        <v>21</v>
      </c>
      <c r="AB32" s="34" t="s">
        <v>22</v>
      </c>
      <c r="AC32" s="35" t="s">
        <v>23</v>
      </c>
      <c r="AD32" s="132" t="s">
        <v>40</v>
      </c>
      <c r="AE32" s="50" t="s">
        <v>24</v>
      </c>
      <c r="AF32" s="50" t="s">
        <v>92</v>
      </c>
      <c r="AG32" s="50" t="s">
        <v>92</v>
      </c>
      <c r="AH32" s="50" t="s">
        <v>25</v>
      </c>
      <c r="AI32" s="50" t="s">
        <v>25</v>
      </c>
      <c r="AJ32" s="50" t="s">
        <v>26</v>
      </c>
    </row>
    <row r="33" spans="1:36" ht="13.5" thickBot="1" x14ac:dyDescent="0.25">
      <c r="B33" s="13" t="s">
        <v>113</v>
      </c>
      <c r="C33" s="120" t="s">
        <v>109</v>
      </c>
      <c r="D33" s="121"/>
      <c r="E33" s="65"/>
      <c r="F33" s="122" t="s">
        <v>109</v>
      </c>
      <c r="G33" s="123"/>
      <c r="H33" s="65"/>
      <c r="I33" s="120" t="s">
        <v>109</v>
      </c>
      <c r="J33" s="121"/>
      <c r="K33" s="65"/>
      <c r="L33" s="122" t="s">
        <v>109</v>
      </c>
      <c r="M33" s="123"/>
      <c r="N33" s="65"/>
      <c r="O33" s="120" t="s">
        <v>109</v>
      </c>
      <c r="P33" s="121"/>
      <c r="Q33" s="65"/>
      <c r="R33" s="122" t="s">
        <v>109</v>
      </c>
      <c r="S33" s="123"/>
      <c r="T33" s="66"/>
      <c r="AA33" s="1"/>
      <c r="AB33" s="36" t="s">
        <v>39</v>
      </c>
      <c r="AC33" s="37" t="s">
        <v>114</v>
      </c>
      <c r="AD33" s="133"/>
      <c r="AE33" s="51" t="s">
        <v>28</v>
      </c>
      <c r="AF33" s="51" t="s">
        <v>29</v>
      </c>
      <c r="AG33" s="51" t="s">
        <v>30</v>
      </c>
      <c r="AH33" s="51" t="s">
        <v>29</v>
      </c>
      <c r="AI33" s="51" t="s">
        <v>30</v>
      </c>
      <c r="AJ33" s="51" t="s">
        <v>31</v>
      </c>
    </row>
    <row r="34" spans="1:36" ht="15.75" thickBot="1" x14ac:dyDescent="0.3">
      <c r="B34" s="14">
        <v>25</v>
      </c>
      <c r="C34" s="62">
        <f>IF($AF11&gt;=$AH11,ROUND($AF11,0),ROUND($AH11,0))</f>
        <v>10</v>
      </c>
      <c r="D34" s="62">
        <f>IF($AF11&gt;=$AH11,ROUND($AG11,0),ROUND($AI11,0))</f>
        <v>18441</v>
      </c>
      <c r="E34" s="63" t="str">
        <f>IF($AF11&gt;=$AH11,"t*","P*")</f>
        <v>t*</v>
      </c>
      <c r="F34" s="93">
        <f>IF($AF23&gt;=$AH23,ROUND($AF23,0),ROUND($AH23,0))</f>
        <v>20</v>
      </c>
      <c r="G34" s="93">
        <f>IF($AF23&gt;=$AH23,ROUND($AG23,0),ROUND($AI23,0))</f>
        <v>20</v>
      </c>
      <c r="H34" s="94" t="str">
        <f>IF($AF23&gt;=$AH23,"t*","P*")</f>
        <v>t*</v>
      </c>
      <c r="I34" s="62">
        <f>IF($AF35&gt;=$AH35,ROUND($AF35,0),ROUND($AH35,0))</f>
        <v>15</v>
      </c>
      <c r="J34" s="62">
        <f>IF($AF35&gt;=$AH35,ROUND($AG35,0),ROUND($AI35,0))</f>
        <v>29</v>
      </c>
      <c r="K34" s="63" t="str">
        <f>IF($AF35&gt;=$AH35,"t*","P*")</f>
        <v>t*</v>
      </c>
      <c r="L34" s="93">
        <f>IF($AF47&gt;=$AH47,ROUND($AF47,0),ROUND($AH47,0))</f>
        <v>6</v>
      </c>
      <c r="M34" s="93">
        <f>IF($AF47&gt;=$AH47,ROUND($AG47,0),ROUND($AI47,0))</f>
        <v>25</v>
      </c>
      <c r="N34" s="94" t="str">
        <f>IF($AF47&gt;=$AH47,"t*","P*")</f>
        <v>t*</v>
      </c>
      <c r="O34" s="62">
        <f>IF($AF59&gt;=$AH59,ROUND($AF59,0),ROUND($AH59,0))</f>
        <v>5</v>
      </c>
      <c r="P34" s="62">
        <f>IF($AF59&gt;=$AH59,ROUND($AG59,0),ROUND($AI59,0))</f>
        <v>500</v>
      </c>
      <c r="Q34" s="63" t="str">
        <f>IF($AF59&gt;=$AH59,"t*","P*")</f>
        <v>t*</v>
      </c>
      <c r="R34" s="93">
        <f>IF($AF71&gt;=$AH71,ROUND($AF71,0),ROUND($AH71,0))</f>
        <v>3</v>
      </c>
      <c r="S34" s="93">
        <f>IF($AF71&gt;=$AH71,ROUND($AG71,0),ROUND($AI71,0))</f>
        <v>666</v>
      </c>
      <c r="T34" s="94" t="str">
        <f>IF($AF71&gt;=$AH71,"t*","P*")</f>
        <v>t*</v>
      </c>
      <c r="AA34" s="61"/>
      <c r="AB34" s="38" t="s">
        <v>32</v>
      </c>
      <c r="AC34" s="39" t="s">
        <v>33</v>
      </c>
      <c r="AD34" s="39" t="s">
        <v>34</v>
      </c>
      <c r="AE34" s="52"/>
      <c r="AF34" s="52" t="s">
        <v>35</v>
      </c>
      <c r="AG34" s="52" t="s">
        <v>35</v>
      </c>
      <c r="AH34" s="52" t="s">
        <v>35</v>
      </c>
      <c r="AI34" s="52" t="s">
        <v>35</v>
      </c>
      <c r="AJ34" s="52" t="s">
        <v>36</v>
      </c>
    </row>
    <row r="35" spans="1:36" ht="15.75" thickTop="1" x14ac:dyDescent="0.25">
      <c r="B35" s="14">
        <v>50</v>
      </c>
      <c r="C35" s="62">
        <f>IF($AF12&gt;=$AH12,ROUND($AF12,0),ROUND($AH12,0))</f>
        <v>10</v>
      </c>
      <c r="D35" s="62">
        <f>IF(AF12&gt;=AH12,ROUND(AG12,0),ROUND(AI12,0))</f>
        <v>9225</v>
      </c>
      <c r="E35" s="63" t="str">
        <f>IF($AF12&gt;=$AH12,"t*","P*")</f>
        <v>t*</v>
      </c>
      <c r="F35" s="93">
        <f>IF($AF24&gt;=$AH24,ROUND($AF24,0),ROUND($AH24,0))</f>
        <v>29</v>
      </c>
      <c r="G35" s="93">
        <f>IF($AF24&gt;=$AH24,ROUND($AG24,0),ROUND($AI24,0))</f>
        <v>15</v>
      </c>
      <c r="H35" s="94" t="str">
        <f>IF($AF24&gt;=$AH24,"t*","P*")</f>
        <v>t*</v>
      </c>
      <c r="I35" s="62">
        <f>IF($AF36&gt;=$AH36,ROUND($AF36,0),ROUND($AH36,0))</f>
        <v>20</v>
      </c>
      <c r="J35" s="62">
        <f>IF($AF36&gt;=$AH36,ROUND($AG36,0),ROUND($AI36,0))</f>
        <v>20</v>
      </c>
      <c r="K35" s="63" t="str">
        <f>IF($AF36&gt;=$AH36,"t*","P*")</f>
        <v>t*</v>
      </c>
      <c r="L35" s="93">
        <f>IF($AF48&gt;=$AH48,ROUND($AF48,0),ROUND($AH48,0))</f>
        <v>11</v>
      </c>
      <c r="M35" s="93">
        <f>IF($AF48&gt;=$AH48,ROUND($AG48,0),ROUND($AI48,0))</f>
        <v>21</v>
      </c>
      <c r="N35" s="94" t="str">
        <f>IF($AF48&gt;=$AH48,"t*","P*")</f>
        <v>P*</v>
      </c>
      <c r="O35" s="62">
        <f>IF($AF60&gt;=$AH60,ROUND($AF60,0),ROUND($AH60,0))</f>
        <v>5</v>
      </c>
      <c r="P35" s="62">
        <f>IF($AF60&gt;=$AH60,ROUND($AG60,0),ROUND($AI60,0))</f>
        <v>252</v>
      </c>
      <c r="Q35" s="63" t="str">
        <f>IF($AF60&gt;=$AH60,"t*","P*")</f>
        <v>t*</v>
      </c>
      <c r="R35" s="93">
        <f>IF($AF72&gt;=$AH72,ROUND($AF72,0),ROUND($AH72,0))</f>
        <v>3</v>
      </c>
      <c r="S35" s="93">
        <f>IF($AF72&gt;=$AH72,ROUND($AG72,0),ROUND($AI72,0))</f>
        <v>334</v>
      </c>
      <c r="T35" s="94" t="str">
        <f>IF($AF72&gt;=$AH72,"t*","P*")</f>
        <v>t*</v>
      </c>
      <c r="AA35" s="29">
        <v>1</v>
      </c>
      <c r="AB35" s="40">
        <v>25</v>
      </c>
      <c r="AC35" s="40">
        <f>6.407*POWER(AD35, -0.5478)</f>
        <v>0.42635686668632283</v>
      </c>
      <c r="AD35" s="41">
        <f>($I$12/6.407)^(1/0.4522)</f>
        <v>140.72718112018336</v>
      </c>
      <c r="AE35" s="53">
        <f t="shared" ref="AE35:AE40" si="12">$I$11/AB35</f>
        <v>2</v>
      </c>
      <c r="AF35" s="54">
        <f t="shared" ref="AF35:AF40" si="13">($C$21+$C$22/AE35)*100/($I$13-4.9)</f>
        <v>14.705882352941178</v>
      </c>
      <c r="AG35" s="53">
        <f t="shared" ref="AG35:AG40" si="14">AF35*AE35</f>
        <v>29.411764705882355</v>
      </c>
      <c r="AH35" s="55">
        <f t="shared" ref="AH35:AH40" si="15">SQRT(AD35/AE35)</f>
        <v>8.3883008148308367</v>
      </c>
      <c r="AI35" s="56">
        <f t="shared" ref="AI35:AI40" si="16">(AH35*AE35)</f>
        <v>16.776601629661673</v>
      </c>
      <c r="AJ35" s="57">
        <f t="shared" ref="AJ35:AJ40" si="17">(($C$21/AH35)+($C$22/AI35))*100+5</f>
        <v>13.941024130584008</v>
      </c>
    </row>
    <row r="36" spans="1:36" ht="15" x14ac:dyDescent="0.25">
      <c r="B36" s="14">
        <v>100</v>
      </c>
      <c r="C36" s="62">
        <f>IF($AF14&gt;=$AH14,ROUND($AF14,0),ROUND($AH14,0))</f>
        <v>10</v>
      </c>
      <c r="D36" s="62">
        <f>IF(AF14&gt;=AH14,ROUND(AG14,0),ROUND(AI14,0))</f>
        <v>4618</v>
      </c>
      <c r="E36" s="63" t="str">
        <f>IF($AF14&gt;=$AH14,"t*","P*")</f>
        <v>t*</v>
      </c>
      <c r="F36" s="93">
        <f>IF($AF26&gt;=$AH26,ROUND($AF26,0),ROUND($AH26,0))</f>
        <v>49</v>
      </c>
      <c r="G36" s="93">
        <f>IF($AF26&gt;=$AH26,ROUND($AG26,0),ROUND($AI26,0))</f>
        <v>12</v>
      </c>
      <c r="H36" s="94" t="str">
        <f>IF($AF26&gt;=$AH26,"t*","P*")</f>
        <v>t*</v>
      </c>
      <c r="I36" s="62">
        <f>IF($AF38&gt;=$AH38,ROUND($AF38,0),ROUND($AH38,0))</f>
        <v>30</v>
      </c>
      <c r="J36" s="62">
        <f>IF($AF38&gt;=$AH38,ROUND($AG38,0),ROUND($AI38,0))</f>
        <v>15</v>
      </c>
      <c r="K36" s="63" t="str">
        <f>IF($AF38&gt;=$AH38,"t*","P*")</f>
        <v>P*</v>
      </c>
      <c r="L36" s="93">
        <f>IF($AF50&gt;=$AH50,ROUND($AF50,0),ROUND($AH50,0))</f>
        <v>21</v>
      </c>
      <c r="M36" s="93">
        <f>IF($AF50&gt;=$AH50,ROUND($AG50,0),ROUND($AI50,0))</f>
        <v>21</v>
      </c>
      <c r="N36" s="94" t="str">
        <f>IF($AF50&gt;=$AH50,"t*","P*")</f>
        <v>P*</v>
      </c>
      <c r="O36" s="62">
        <f>IF($AF62&gt;=$AH62,ROUND($AF62,0),ROUND($AH62,0))</f>
        <v>5</v>
      </c>
      <c r="P36" s="62">
        <f>IF($AF62&gt;=$AH62,ROUND($AG62,0),ROUND($AI62,0))</f>
        <v>129</v>
      </c>
      <c r="Q36" s="63" t="str">
        <f>IF($AF62&gt;=$AH62,"t*","P*")</f>
        <v>t*</v>
      </c>
      <c r="R36" s="93">
        <f>IF($AF74&gt;=$AH74,ROUND($AF74,0),ROUND($AH74,0))</f>
        <v>3</v>
      </c>
      <c r="S36" s="93">
        <f>IF($AF74&gt;=$AH74,ROUND($AG74,0),ROUND($AI74,0))</f>
        <v>169</v>
      </c>
      <c r="T36" s="94" t="str">
        <f>IF($AF74&gt;=$AH74,"t*","P*")</f>
        <v>t*</v>
      </c>
      <c r="AA36" s="29">
        <v>2</v>
      </c>
      <c r="AB36" s="40">
        <v>50</v>
      </c>
      <c r="AC36" s="40">
        <f>5.126*POWER(AD36, -0.5478)</f>
        <v>0.26033967081185549</v>
      </c>
      <c r="AD36" s="41">
        <f>($I$12/5.126)^(1/0.4522)</f>
        <v>230.46814115149328</v>
      </c>
      <c r="AE36" s="53">
        <f t="shared" si="12"/>
        <v>1</v>
      </c>
      <c r="AF36" s="54">
        <f t="shared" si="13"/>
        <v>19.607843137254903</v>
      </c>
      <c r="AG36" s="53">
        <f t="shared" si="14"/>
        <v>19.607843137254903</v>
      </c>
      <c r="AH36" s="55">
        <f t="shared" si="15"/>
        <v>15.181177199133581</v>
      </c>
      <c r="AI36" s="56">
        <f t="shared" si="16"/>
        <v>15.181177199133581</v>
      </c>
      <c r="AJ36" s="57">
        <f t="shared" si="17"/>
        <v>11.587104457598137</v>
      </c>
    </row>
    <row r="37" spans="1:36" ht="15" x14ac:dyDescent="0.25">
      <c r="B37" s="14">
        <v>250</v>
      </c>
      <c r="C37" s="62">
        <f>IF($AF15&gt;=$AH15,ROUND($AF15,0),ROUND($AH15,0))</f>
        <v>10</v>
      </c>
      <c r="D37" s="62">
        <f>IF(AF15&gt;=AH15,ROUND(AG15,0),ROUND(AI15,0))</f>
        <v>1853</v>
      </c>
      <c r="E37" s="63" t="str">
        <f>IF($AF15&gt;=$AH15,"t*","P*")</f>
        <v>t*</v>
      </c>
      <c r="F37" s="93">
        <f>IF($AF27&gt;=$AH27,ROUND($AF27,0),ROUND($AH27,0))</f>
        <v>108</v>
      </c>
      <c r="G37" s="93">
        <f>IF($AF27&gt;=$AH27,ROUND($AG27,0),ROUND($AI27,0))</f>
        <v>11</v>
      </c>
      <c r="H37" s="94" t="str">
        <f>IF($AF27&gt;=$AH27,"t*","P*")</f>
        <v>t*</v>
      </c>
      <c r="I37" s="62">
        <f>IF($AF39&gt;=$AH39,ROUND($AF39,0),ROUND($AH39,0))</f>
        <v>59</v>
      </c>
      <c r="J37" s="62">
        <f>IF($AF39&gt;=$AH39,ROUND($AG39,0),ROUND($AI39,0))</f>
        <v>12</v>
      </c>
      <c r="K37" s="63" t="str">
        <f>IF($AF39&gt;=$AH39,"t*","P*")</f>
        <v>t*</v>
      </c>
      <c r="L37" s="93">
        <f>IF($AF51&gt;=$AH51,ROUND($AF51,0),ROUND($AH51,0))</f>
        <v>33</v>
      </c>
      <c r="M37" s="93">
        <f>IF($AF51&gt;=$AH51,ROUND($AG51,0),ROUND($AI51,0))</f>
        <v>13</v>
      </c>
      <c r="N37" s="94" t="str">
        <f>IF($AF51&gt;=$AH51,"t*","P*")</f>
        <v>P*</v>
      </c>
      <c r="O37" s="62">
        <f>IF($AF63&gt;=$AH63,ROUND($AF63,0),ROUND($AH63,0))</f>
        <v>7</v>
      </c>
      <c r="P37" s="62">
        <f>IF($AF63&gt;=$AH63,ROUND($AG63,0),ROUND($AI63,0))</f>
        <v>66</v>
      </c>
      <c r="Q37" s="63" t="str">
        <f>IF($AF63&gt;=$AH63,"t*","P*")</f>
        <v>P*</v>
      </c>
      <c r="R37" s="93">
        <f>IF($AF75&gt;=$AH75,ROUND($AF75,0),ROUND($AH75,0))</f>
        <v>5</v>
      </c>
      <c r="S37" s="93">
        <f>IF($AF75&gt;=$AH75,ROUND($AG75,0),ROUND($AI75,0))</f>
        <v>93</v>
      </c>
      <c r="T37" s="94" t="str">
        <f>IF($AF75&gt;=$AH75,"t*","P*")</f>
        <v>P*</v>
      </c>
      <c r="AA37" s="29">
        <v>3</v>
      </c>
      <c r="AB37" s="40">
        <v>75</v>
      </c>
      <c r="AC37" s="40">
        <f>5.126*POWER(AD37, -0.5478)</f>
        <v>0.26033967081185549</v>
      </c>
      <c r="AD37" s="41">
        <f>($I$12/5.126)^(1/0.4522)</f>
        <v>230.46814115149328</v>
      </c>
      <c r="AE37" s="53">
        <f t="shared" si="12"/>
        <v>0.66666666666666663</v>
      </c>
      <c r="AF37" s="54">
        <f t="shared" si="13"/>
        <v>24.509803921568629</v>
      </c>
      <c r="AG37" s="53">
        <f t="shared" si="14"/>
        <v>16.33986928104575</v>
      </c>
      <c r="AH37" s="55">
        <f t="shared" si="15"/>
        <v>18.59306891632578</v>
      </c>
      <c r="AI37" s="56">
        <f t="shared" si="16"/>
        <v>12.39537927755052</v>
      </c>
      <c r="AJ37" s="57">
        <f t="shared" si="17"/>
        <v>11.722935334803328</v>
      </c>
    </row>
    <row r="38" spans="1:36" ht="15" x14ac:dyDescent="0.25">
      <c r="B38" s="14">
        <v>1000</v>
      </c>
      <c r="C38" s="62">
        <f>IF($AF16&gt;=$AH16,ROUND($AF16,0),ROUND($AH16,0))</f>
        <v>10</v>
      </c>
      <c r="D38" s="62">
        <f>IF(AF16&gt;=AH16,ROUND(AG16,0),ROUND(AI16,0))</f>
        <v>471</v>
      </c>
      <c r="E38" s="63" t="str">
        <f>IF($AF16&gt;=$AH16,"t*","P*")</f>
        <v>t*</v>
      </c>
      <c r="F38" s="93">
        <f>IF($AF28&gt;=$AH28,ROUND($AF28,0),ROUND($AH28,0))</f>
        <v>402</v>
      </c>
      <c r="G38" s="93">
        <f>IF($AF28&gt;=$AH28,ROUND($AG28,0),ROUND($AI28,0))</f>
        <v>10</v>
      </c>
      <c r="H38" s="94" t="str">
        <f>IF($AF28&gt;=$AH28,"t*","P*")</f>
        <v>t*</v>
      </c>
      <c r="I38" s="62">
        <f>IF($AF40&gt;=$AH40,ROUND($AF40,0),ROUND($AH40,0))</f>
        <v>206</v>
      </c>
      <c r="J38" s="62">
        <f>IF($AF40&gt;=$AH40,ROUND($AG40,0),ROUND($AI40,0))</f>
        <v>10</v>
      </c>
      <c r="K38" s="63" t="str">
        <f>IF($AF40&gt;=$AH40,"t*","P*")</f>
        <v>t*</v>
      </c>
      <c r="L38" s="93">
        <f>IF($AF52&gt;=$AH52,ROUND($AF52,0),ROUND($AH52,0))</f>
        <v>54</v>
      </c>
      <c r="M38" s="93">
        <f>IF($AF52&gt;=$AH52,ROUND($AG52,0),ROUND($AI52,0))</f>
        <v>5</v>
      </c>
      <c r="N38" s="94" t="str">
        <f>IF($AF52&gt;=$AH52,"t*","P*")</f>
        <v>t*</v>
      </c>
      <c r="O38" s="62">
        <f>IF($AF64&gt;=$AH64,ROUND($AF64,0),ROUND($AH64,0))</f>
        <v>8</v>
      </c>
      <c r="P38" s="62">
        <f>IF($AF64&gt;=$AH64,ROUND($AG64,0),ROUND($AI64,0))</f>
        <v>19</v>
      </c>
      <c r="Q38" s="63" t="str">
        <f>IF($AF64&gt;=$AH64,"t*","P*")</f>
        <v>P*</v>
      </c>
      <c r="R38" s="93">
        <f>IF($AF76&gt;=$AH76,ROUND($AF76,0),ROUND($AH76,0))</f>
        <v>5</v>
      </c>
      <c r="S38" s="93">
        <f>IF($AF76&gt;=$AH76,ROUND($AG76,0),ROUND($AI76,0))</f>
        <v>27</v>
      </c>
      <c r="T38" s="94" t="str">
        <f>IF($AF76&gt;=$AH76,"t*","P*")</f>
        <v>P*</v>
      </c>
      <c r="AA38" s="29">
        <v>4</v>
      </c>
      <c r="AB38" s="40">
        <v>100</v>
      </c>
      <c r="AC38" s="40">
        <f>3.844*POWER(AD38, -0.5478)</f>
        <v>0.13776045089916994</v>
      </c>
      <c r="AD38" s="41">
        <f>($I$12/3.844)^(1/0.4522)</f>
        <v>435.53864413463185</v>
      </c>
      <c r="AE38" s="53">
        <f t="shared" si="12"/>
        <v>0.5</v>
      </c>
      <c r="AF38" s="54">
        <f t="shared" si="13"/>
        <v>29.411764705882355</v>
      </c>
      <c r="AG38" s="53">
        <f t="shared" si="14"/>
        <v>14.705882352941178</v>
      </c>
      <c r="AH38" s="55">
        <f t="shared" si="15"/>
        <v>29.514018504250885</v>
      </c>
      <c r="AI38" s="56">
        <f t="shared" si="16"/>
        <v>14.757009252125442</v>
      </c>
      <c r="AJ38" s="57">
        <f t="shared" si="17"/>
        <v>10.082330621240059</v>
      </c>
    </row>
    <row r="39" spans="1:36" x14ac:dyDescent="0.2">
      <c r="E39" s="24" t="s">
        <v>110</v>
      </c>
      <c r="AA39" s="29">
        <v>5</v>
      </c>
      <c r="AB39" s="40">
        <v>250</v>
      </c>
      <c r="AC39" s="40">
        <f>3.844*POWER(AD39, -0.5478)</f>
        <v>0.13776045089916994</v>
      </c>
      <c r="AD39" s="41">
        <f>($I$12/3.844)^(1/0.4522)</f>
        <v>435.53864413463185</v>
      </c>
      <c r="AE39" s="86">
        <f t="shared" si="12"/>
        <v>0.2</v>
      </c>
      <c r="AF39" s="54">
        <f t="shared" si="13"/>
        <v>58.82352941176471</v>
      </c>
      <c r="AG39" s="53">
        <f t="shared" si="14"/>
        <v>11.764705882352942</v>
      </c>
      <c r="AH39" s="55">
        <f t="shared" si="15"/>
        <v>46.665760688894366</v>
      </c>
      <c r="AI39" s="56">
        <f t="shared" si="16"/>
        <v>9.3331521377788729</v>
      </c>
      <c r="AJ39" s="57">
        <f t="shared" si="17"/>
        <v>11.428696234054847</v>
      </c>
    </row>
    <row r="40" spans="1:36" ht="13.5" thickBot="1" x14ac:dyDescent="0.25">
      <c r="A40" s="119" t="s">
        <v>120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AA40" s="29">
        <v>6</v>
      </c>
      <c r="AB40" s="40">
        <v>1000</v>
      </c>
      <c r="AC40" s="40">
        <f>6.047*POWER(AD40, -0.5478)</f>
        <v>0.40240049521651222</v>
      </c>
      <c r="AD40" s="41">
        <f>($I$12/6.407)^(1/0.4522)</f>
        <v>140.72718112018336</v>
      </c>
      <c r="AE40" s="86">
        <f t="shared" si="12"/>
        <v>0.05</v>
      </c>
      <c r="AF40" s="54">
        <f t="shared" si="13"/>
        <v>205.88235294117649</v>
      </c>
      <c r="AG40" s="53">
        <f t="shared" si="14"/>
        <v>10.294117647058826</v>
      </c>
      <c r="AH40" s="55">
        <f t="shared" si="15"/>
        <v>53.052272547023534</v>
      </c>
      <c r="AI40" s="56">
        <f t="shared" si="16"/>
        <v>2.6526136273511769</v>
      </c>
      <c r="AJ40" s="57">
        <f t="shared" si="17"/>
        <v>24.791800607020548</v>
      </c>
    </row>
    <row r="41" spans="1:36" ht="13.5" thickBot="1" x14ac:dyDescent="0.25">
      <c r="AA41" s="59" t="s">
        <v>3</v>
      </c>
      <c r="AB41" s="2"/>
      <c r="AC41" s="2"/>
      <c r="AD41" s="2"/>
      <c r="AE41" s="2"/>
      <c r="AH41" s="2"/>
      <c r="AI41" s="2"/>
      <c r="AJ41" s="2"/>
    </row>
    <row r="42" spans="1:36" x14ac:dyDescent="0.2">
      <c r="AA42" s="27"/>
      <c r="AB42" s="30"/>
      <c r="AC42" s="30"/>
      <c r="AD42" s="30"/>
      <c r="AE42" s="42"/>
      <c r="AF42" s="43"/>
      <c r="AG42" s="44"/>
      <c r="AH42" s="42"/>
      <c r="AI42" s="42"/>
      <c r="AJ42" s="45"/>
    </row>
    <row r="43" spans="1:36" ht="14.25" x14ac:dyDescent="0.25">
      <c r="B43" t="s">
        <v>116</v>
      </c>
      <c r="AA43" s="60"/>
      <c r="AB43" s="31" t="s">
        <v>18</v>
      </c>
      <c r="AC43" s="32" t="s">
        <v>19</v>
      </c>
      <c r="AD43" s="33" t="s">
        <v>38</v>
      </c>
      <c r="AE43" s="46" t="s">
        <v>41</v>
      </c>
      <c r="AF43" s="47" t="s">
        <v>90</v>
      </c>
      <c r="AG43" s="48" t="s">
        <v>91</v>
      </c>
      <c r="AH43" s="49" t="s">
        <v>42</v>
      </c>
      <c r="AI43" s="49" t="s">
        <v>43</v>
      </c>
      <c r="AJ43" s="49" t="s">
        <v>20</v>
      </c>
    </row>
    <row r="44" spans="1:36" x14ac:dyDescent="0.2">
      <c r="B44" t="s">
        <v>111</v>
      </c>
      <c r="AA44" s="28" t="s">
        <v>21</v>
      </c>
      <c r="AB44" s="34" t="s">
        <v>22</v>
      </c>
      <c r="AC44" s="35" t="s">
        <v>23</v>
      </c>
      <c r="AD44" s="132" t="s">
        <v>40</v>
      </c>
      <c r="AE44" s="50" t="s">
        <v>24</v>
      </c>
      <c r="AF44" s="50" t="s">
        <v>92</v>
      </c>
      <c r="AG44" s="50" t="s">
        <v>92</v>
      </c>
      <c r="AH44" s="50" t="s">
        <v>25</v>
      </c>
      <c r="AI44" s="50" t="s">
        <v>25</v>
      </c>
      <c r="AJ44" s="50" t="s">
        <v>26</v>
      </c>
    </row>
    <row r="45" spans="1:36" x14ac:dyDescent="0.2">
      <c r="AA45" s="1"/>
      <c r="AB45" s="36" t="s">
        <v>39</v>
      </c>
      <c r="AC45" s="37" t="s">
        <v>114</v>
      </c>
      <c r="AD45" s="133"/>
      <c r="AE45" s="51" t="s">
        <v>28</v>
      </c>
      <c r="AF45" s="51" t="s">
        <v>29</v>
      </c>
      <c r="AG45" s="51" t="s">
        <v>30</v>
      </c>
      <c r="AH45" s="51" t="s">
        <v>29</v>
      </c>
      <c r="AI45" s="51" t="s">
        <v>30</v>
      </c>
      <c r="AJ45" s="51" t="s">
        <v>31</v>
      </c>
    </row>
    <row r="46" spans="1:36" ht="15" thickBot="1" x14ac:dyDescent="0.25">
      <c r="B46" s="118" t="s">
        <v>121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AA46" s="61"/>
      <c r="AB46" s="38" t="s">
        <v>32</v>
      </c>
      <c r="AC46" s="39" t="s">
        <v>33</v>
      </c>
      <c r="AD46" s="39" t="s">
        <v>34</v>
      </c>
      <c r="AE46" s="52"/>
      <c r="AF46" s="52" t="s">
        <v>35</v>
      </c>
      <c r="AG46" s="52" t="s">
        <v>35</v>
      </c>
      <c r="AH46" s="52" t="s">
        <v>35</v>
      </c>
      <c r="AI46" s="52" t="s">
        <v>35</v>
      </c>
      <c r="AJ46" s="52" t="s">
        <v>36</v>
      </c>
    </row>
    <row r="47" spans="1:36" ht="13.5" thickTop="1" x14ac:dyDescent="0.2">
      <c r="B47" s="90" t="s">
        <v>7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AA47" s="29">
        <v>1</v>
      </c>
      <c r="AB47" s="40">
        <v>25</v>
      </c>
      <c r="AC47" s="40">
        <f>6.407*POWER(AD47, -0.5478)</f>
        <v>0.42635686668632283</v>
      </c>
      <c r="AD47" s="41">
        <f>($L$12/6.407)^(1/0.4522)</f>
        <v>140.72718112018336</v>
      </c>
      <c r="AE47" s="53">
        <f t="shared" ref="AE47:AE52" si="18">$L$11/AB47</f>
        <v>4</v>
      </c>
      <c r="AF47" s="54">
        <f t="shared" ref="AF47:AF52" si="19">($C$21+$C$22/AE47)*100/($L$13-4.9)</f>
        <v>6.1881188118811883</v>
      </c>
      <c r="AG47" s="53">
        <f t="shared" ref="AG47:AG52" si="20">AF47*AE47</f>
        <v>24.752475247524753</v>
      </c>
      <c r="AH47" s="55">
        <f t="shared" ref="AH47:AH52" si="21">SQRT(AD47/AE47)</f>
        <v>5.9314243887995266</v>
      </c>
      <c r="AI47" s="56">
        <f t="shared" ref="AI47:AI52" si="22">(AH47*AE47)</f>
        <v>23.725697555198106</v>
      </c>
      <c r="AJ47" s="57">
        <f t="shared" ref="AJ47:AJ52" si="23">(($C$21/AH47)+($C$22/AI47))*100+5</f>
        <v>15.53709798914751</v>
      </c>
    </row>
    <row r="48" spans="1:36" x14ac:dyDescent="0.2">
      <c r="B48" s="91"/>
      <c r="C48" s="9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98"/>
      <c r="AA48" s="29">
        <v>2</v>
      </c>
      <c r="AB48" s="40">
        <v>50</v>
      </c>
      <c r="AC48" s="40">
        <f>5.126*POWER(AD48, -0.5478)</f>
        <v>0.26033967081185549</v>
      </c>
      <c r="AD48" s="41">
        <f>($L$12/5.126)^(1/0.4522)</f>
        <v>230.46814115149328</v>
      </c>
      <c r="AE48" s="53">
        <f t="shared" si="18"/>
        <v>2</v>
      </c>
      <c r="AF48" s="54">
        <f t="shared" si="19"/>
        <v>7.4257425742574261</v>
      </c>
      <c r="AG48" s="53">
        <f t="shared" si="20"/>
        <v>14.851485148514852</v>
      </c>
      <c r="AH48" s="55">
        <f t="shared" si="21"/>
        <v>10.734713343901953</v>
      </c>
      <c r="AI48" s="56">
        <f t="shared" si="22"/>
        <v>21.469426687803907</v>
      </c>
      <c r="AJ48" s="57">
        <f t="shared" si="23"/>
        <v>11.986679345527666</v>
      </c>
    </row>
    <row r="49" spans="2:36" ht="14.25" x14ac:dyDescent="0.25">
      <c r="B49" s="95" t="s">
        <v>113</v>
      </c>
      <c r="C49" s="155" t="s">
        <v>9</v>
      </c>
      <c r="D49" s="156"/>
      <c r="E49" s="23"/>
      <c r="F49" s="153" t="s">
        <v>10</v>
      </c>
      <c r="G49" s="154"/>
      <c r="H49" s="23"/>
      <c r="I49" s="155" t="s">
        <v>11</v>
      </c>
      <c r="J49" s="156"/>
      <c r="K49" s="23"/>
      <c r="L49" s="153" t="s">
        <v>12</v>
      </c>
      <c r="M49" s="154"/>
      <c r="N49" s="23"/>
      <c r="O49" s="155" t="s">
        <v>13</v>
      </c>
      <c r="P49" s="156"/>
      <c r="Q49" s="23"/>
      <c r="R49" s="153" t="s">
        <v>14</v>
      </c>
      <c r="S49" s="154"/>
      <c r="AA49" s="29">
        <v>3</v>
      </c>
      <c r="AB49" s="40">
        <v>75</v>
      </c>
      <c r="AC49" s="40">
        <f>5.126*POWER(AD49, -0.5478)</f>
        <v>0.26033967081185549</v>
      </c>
      <c r="AD49" s="41">
        <f>($L$12/5.126)^(1/0.4522)</f>
        <v>230.46814115149328</v>
      </c>
      <c r="AE49" s="53">
        <f t="shared" si="18"/>
        <v>1.3333333333333333</v>
      </c>
      <c r="AF49" s="54">
        <f t="shared" si="19"/>
        <v>8.6633663366336631</v>
      </c>
      <c r="AG49" s="53">
        <f t="shared" si="20"/>
        <v>11.55115511551155</v>
      </c>
      <c r="AH49" s="55">
        <f t="shared" si="21"/>
        <v>13.147285113802772</v>
      </c>
      <c r="AI49" s="56">
        <f t="shared" si="22"/>
        <v>17.52971348507036</v>
      </c>
      <c r="AJ49" s="57">
        <f t="shared" si="23"/>
        <v>11.655366430605319</v>
      </c>
    </row>
    <row r="50" spans="2:36" x14ac:dyDescent="0.2">
      <c r="B50" s="96">
        <v>25</v>
      </c>
      <c r="C50" s="140" t="str">
        <f>IF($AE11&lt;1,"Partial Square",IF($AE11&lt;=10,"Bar",IF($AE11&gt;10,"Serpentine")))</f>
        <v>Serpentine</v>
      </c>
      <c r="D50" s="140"/>
      <c r="E50" s="99"/>
      <c r="F50" s="141" t="str">
        <f>IF($AE23&lt;1,"Partial Square",IF($AE23&lt;=10,"Bar",IF($AE23&gt;10,"Serpentine")))</f>
        <v>Bar</v>
      </c>
      <c r="G50" s="141"/>
      <c r="H50" s="100"/>
      <c r="I50" s="140" t="str">
        <f>IF($AE35&lt;1,"Partial Square",IF($AE35&lt;=10,"Bar",IF($AE35&gt;10,"Serpentine")))</f>
        <v>Bar</v>
      </c>
      <c r="J50" s="140"/>
      <c r="K50" s="100"/>
      <c r="L50" s="141" t="str">
        <f>IF($AE47&lt;1,"Partial Square",IF($AE47&lt;=10,"Bar",IF($AE47&gt;10,"Serpentine")))</f>
        <v>Bar</v>
      </c>
      <c r="M50" s="141"/>
      <c r="N50" s="100"/>
      <c r="O50" s="140" t="str">
        <f>IF($AE59&lt;1,"Partial Square",IF($AE59&lt;=10,"Bar",IF($AE59&gt;10,"Serpentine")))</f>
        <v>Serpentine</v>
      </c>
      <c r="P50" s="140"/>
      <c r="Q50" s="100"/>
      <c r="R50" s="141" t="str">
        <f>IF($AE71&lt;1,"Partial Square",IF($AE71&lt;=10,"Bar",IF($AE71&gt;10,"Serpentine")))</f>
        <v>Serpentine</v>
      </c>
      <c r="S50" s="141"/>
      <c r="AA50" s="29">
        <v>4</v>
      </c>
      <c r="AB50" s="40">
        <v>100</v>
      </c>
      <c r="AC50" s="40">
        <f>3.844*POWER(AD50, -0.5478)</f>
        <v>0.13776045089916994</v>
      </c>
      <c r="AD50" s="41">
        <f>($L$12/3.844)^(1/0.4522)</f>
        <v>435.53864413463185</v>
      </c>
      <c r="AE50" s="53">
        <f t="shared" si="18"/>
        <v>1</v>
      </c>
      <c r="AF50" s="54">
        <f t="shared" si="19"/>
        <v>9.9009900990099009</v>
      </c>
      <c r="AG50" s="53">
        <f t="shared" si="20"/>
        <v>9.9009900990099009</v>
      </c>
      <c r="AH50" s="55">
        <f t="shared" si="21"/>
        <v>20.869562624421047</v>
      </c>
      <c r="AI50" s="56">
        <f t="shared" si="22"/>
        <v>20.869562624421047</v>
      </c>
      <c r="AJ50" s="57">
        <f t="shared" si="23"/>
        <v>9.7916672620145135</v>
      </c>
    </row>
    <row r="51" spans="2:36" x14ac:dyDescent="0.2">
      <c r="B51" s="96">
        <v>50</v>
      </c>
      <c r="C51" s="140" t="str">
        <f>IF($AE12&lt;1,"Partial Square",IF($AE12&lt;=10,"Bar",IF($AE12&gt;10,"Serpentine")))</f>
        <v>Serpentine</v>
      </c>
      <c r="D51" s="140"/>
      <c r="E51" s="99"/>
      <c r="F51" s="141" t="str">
        <f>IF($AE24&lt;1,"Partial Square",IF($AE24&lt;=10,"Bar",IF($AE24&gt;10,"Serpentine")))</f>
        <v>Partial Square</v>
      </c>
      <c r="G51" s="141"/>
      <c r="H51" s="100"/>
      <c r="I51" s="140" t="str">
        <f>IF($AE36&lt;1,"Partial Square",IF($AE36&lt;=10,"Bar",IF($AE36&gt;10,"Serpentine")))</f>
        <v>Bar</v>
      </c>
      <c r="J51" s="140"/>
      <c r="K51" s="100"/>
      <c r="L51" s="141" t="str">
        <f>IF($AE48&lt;1,"Partial Square",IF($AE48&lt;=10,"Bar",IF($AE48&gt;10,"Serpentine")))</f>
        <v>Bar</v>
      </c>
      <c r="M51" s="141"/>
      <c r="N51" s="100"/>
      <c r="O51" s="140" t="str">
        <f>IF($AE60&lt;1,"Partial Square",IF($AE60&lt;=10,"Bar",IF($AE60&gt;10,"Serpentine")))</f>
        <v>Serpentine</v>
      </c>
      <c r="P51" s="140"/>
      <c r="Q51" s="100"/>
      <c r="R51" s="141" t="str">
        <f>IF($AE72&lt;1,"Partial Square",IF($AE72&lt;=10,"Bar",IF($AE72&gt;10,"Serpentine")))</f>
        <v>Serpentine</v>
      </c>
      <c r="S51" s="141"/>
      <c r="AA51" s="29">
        <v>5</v>
      </c>
      <c r="AB51" s="40">
        <v>250</v>
      </c>
      <c r="AC51" s="40">
        <f>3.844*POWER(AD51, -0.5478)</f>
        <v>0.13776045089916994</v>
      </c>
      <c r="AD51" s="41">
        <f>($L$12/3.844)^(1/0.4522)</f>
        <v>435.53864413463185</v>
      </c>
      <c r="AE51" s="53">
        <f t="shared" si="18"/>
        <v>0.4</v>
      </c>
      <c r="AF51" s="54">
        <f t="shared" si="19"/>
        <v>17.326732673267326</v>
      </c>
      <c r="AG51" s="53">
        <f t="shared" si="20"/>
        <v>6.9306930693069306</v>
      </c>
      <c r="AH51" s="55">
        <f t="shared" si="21"/>
        <v>32.99767583234582</v>
      </c>
      <c r="AI51" s="56">
        <f t="shared" si="22"/>
        <v>13.199070332938328</v>
      </c>
      <c r="AJ51" s="57">
        <f t="shared" si="23"/>
        <v>10.303403818170038</v>
      </c>
    </row>
    <row r="52" spans="2:36" ht="12.75" customHeight="1" thickBot="1" x14ac:dyDescent="0.25">
      <c r="B52" s="96">
        <v>100</v>
      </c>
      <c r="C52" s="140" t="str">
        <f>IF($AE14&lt;1,"Partial Square",IF($AE14&lt;=10,"Bar",IF($AE14&gt;10,"Serpentine")))</f>
        <v>Serpentine</v>
      </c>
      <c r="D52" s="140"/>
      <c r="E52" s="99"/>
      <c r="F52" s="141" t="str">
        <f>IF($AE26&lt;1,"Partial Square",IF($AE26&lt;=10,"Bar",IF($AE26&gt;10,"Serpentine")))</f>
        <v>Partial Square</v>
      </c>
      <c r="G52" s="141"/>
      <c r="H52" s="100"/>
      <c r="I52" s="140" t="str">
        <f>IF($AE38&lt;1,"Partial Square",IF($AE38&lt;=10,"Bar",IF($AE38&gt;10,"Serpentine")))</f>
        <v>Partial Square</v>
      </c>
      <c r="J52" s="140"/>
      <c r="K52" s="100"/>
      <c r="L52" s="141" t="str">
        <f>IF($AE50&lt;1,"Partial Square",IF($AE50&lt;=10,"Bar",IF($AE50&gt;10,"Serpentine")))</f>
        <v>Bar</v>
      </c>
      <c r="M52" s="141"/>
      <c r="N52" s="100"/>
      <c r="O52" s="140" t="str">
        <f>IF($AE62&lt;1,"Partial Square",IF($AE62&lt;=10,"Bar",IF($AE62&gt;10,"Serpentine")))</f>
        <v>Serpentine</v>
      </c>
      <c r="P52" s="140"/>
      <c r="Q52" s="100"/>
      <c r="R52" s="141" t="str">
        <f>IF($AE74&lt;1,"Partial Square",IF($AE74&lt;=10,"Bar",IF($AE74&gt;10,"Serpentine")))</f>
        <v>Serpentine</v>
      </c>
      <c r="S52" s="141"/>
      <c r="AA52" s="29">
        <v>6</v>
      </c>
      <c r="AB52" s="40">
        <v>1000</v>
      </c>
      <c r="AC52" s="40">
        <f>6.047*POWER(AD52, -0.5478)</f>
        <v>0.40240049521651222</v>
      </c>
      <c r="AD52" s="41">
        <f>($L$12/6.407)^(1/0.4522)</f>
        <v>140.72718112018336</v>
      </c>
      <c r="AE52" s="53">
        <f t="shared" si="18"/>
        <v>0.1</v>
      </c>
      <c r="AF52" s="54">
        <f t="shared" si="19"/>
        <v>54.455445544554458</v>
      </c>
      <c r="AG52" s="53">
        <f t="shared" si="20"/>
        <v>5.4455445544554459</v>
      </c>
      <c r="AH52" s="55">
        <f t="shared" si="21"/>
        <v>37.513621675357257</v>
      </c>
      <c r="AI52" s="56">
        <f t="shared" si="22"/>
        <v>3.751362167535726</v>
      </c>
      <c r="AJ52" s="57">
        <f t="shared" si="23"/>
        <v>19.66134101259798</v>
      </c>
    </row>
    <row r="53" spans="2:36" ht="12.75" customHeight="1" thickBot="1" x14ac:dyDescent="0.25">
      <c r="B53" s="96">
        <v>250</v>
      </c>
      <c r="C53" s="140" t="str">
        <f>IF($AE15&lt;1,"Partial Square",IF($AE15&lt;=10,"Bar",IF($AE15&gt;10,"Serpentine")))</f>
        <v>Serpentine</v>
      </c>
      <c r="D53" s="140"/>
      <c r="E53" s="99"/>
      <c r="F53" s="141" t="str">
        <f>IF($AE27&lt;1,"Partial Square",IF($AE27&lt;=10,"Bar",IF($AE27&gt;10,"Serpentine")))</f>
        <v>Partial Square</v>
      </c>
      <c r="G53" s="141"/>
      <c r="H53" s="100"/>
      <c r="I53" s="140" t="str">
        <f>IF($AE39&lt;1,"Partial Square",IF($AE39&lt;=10,"Bar",IF($AE39&gt;10,"Serpentine")))</f>
        <v>Partial Square</v>
      </c>
      <c r="J53" s="140"/>
      <c r="K53" s="100"/>
      <c r="L53" s="141" t="str">
        <f>IF($AE51&lt;1,"Partial Square",IF($AE51&lt;=10,"Bar",IF($AE51&gt;10,"Serpentine")))</f>
        <v>Partial Square</v>
      </c>
      <c r="M53" s="141"/>
      <c r="N53" s="100"/>
      <c r="O53" s="140" t="str">
        <f>IF($AE63&lt;1,"Partial Square",IF($AE63&lt;=10,"Bar",IF($AE63&gt;10,"Serpentine")))</f>
        <v>Bar</v>
      </c>
      <c r="P53" s="140"/>
      <c r="Q53" s="100"/>
      <c r="R53" s="141" t="str">
        <f>IF($AE75&lt;1,"Partial Square",IF($AE75&lt;=10,"Bar",IF($AE75&gt;10,"Serpentine")))</f>
        <v>Serpentine</v>
      </c>
      <c r="S53" s="141"/>
      <c r="AA53" s="58" t="s">
        <v>4</v>
      </c>
      <c r="AB53" s="2"/>
      <c r="AC53" s="2"/>
      <c r="AD53" s="2"/>
      <c r="AE53" s="2"/>
      <c r="AH53" s="2"/>
      <c r="AI53" s="2"/>
      <c r="AJ53" s="2"/>
    </row>
    <row r="54" spans="2:36" ht="12.75" customHeight="1" x14ac:dyDescent="0.2">
      <c r="B54" s="96">
        <v>1000</v>
      </c>
      <c r="C54" s="140" t="str">
        <f>IF($AE16&lt;1,"Partial Square",IF($AE16&lt;=10,"Bar",IF($AE16&gt;10,"Serpentine")))</f>
        <v>Serpentine</v>
      </c>
      <c r="D54" s="140"/>
      <c r="E54" s="101"/>
      <c r="F54" s="141" t="str">
        <f>IF($AE28&lt;1,"Partial Square",IF($AE28&lt;=10,"Bar",IF($AE28&gt;10,"Serpentine")))</f>
        <v>Partial Square</v>
      </c>
      <c r="G54" s="141"/>
      <c r="H54" s="102"/>
      <c r="I54" s="140" t="str">
        <f>IF($AE40&lt;1,"Partial Square",IF($AE40&lt;=10,"Bar",IF($AE40&gt;10,"Serpentine")))</f>
        <v>Partial Square</v>
      </c>
      <c r="J54" s="140"/>
      <c r="K54" s="102"/>
      <c r="L54" s="141" t="str">
        <f>IF($AE52&lt;1,"Partial Square",IF($AE52&lt;=10,"Bar",IF($AE52&gt;10,"Serpentine")))</f>
        <v>Partial Square</v>
      </c>
      <c r="M54" s="141"/>
      <c r="N54" s="102"/>
      <c r="O54" s="140" t="str">
        <f>IF($AE64&lt;1,"Partial Square",IF($AE64&lt;=10,"Bar",IF($AE64&gt;10,"Serpentine")))</f>
        <v>Bar</v>
      </c>
      <c r="P54" s="140"/>
      <c r="Q54" s="102"/>
      <c r="R54" s="141" t="str">
        <f>IF($AE76&lt;1,"Partial Square",IF($AE76&lt;=10,"Bar",IF($AE76&gt;10,"Serpentine")))</f>
        <v>Bar</v>
      </c>
      <c r="S54" s="141"/>
      <c r="AA54" s="27"/>
      <c r="AB54" s="30"/>
      <c r="AC54" s="30"/>
      <c r="AD54" s="30"/>
      <c r="AE54" s="42"/>
      <c r="AF54" s="43"/>
      <c r="AG54" s="44"/>
      <c r="AH54" s="42"/>
      <c r="AI54" s="42"/>
      <c r="AJ54" s="45"/>
    </row>
    <row r="55" spans="2:36" ht="14.25" x14ac:dyDescent="0.25">
      <c r="AA55" s="60"/>
      <c r="AB55" s="31" t="s">
        <v>18</v>
      </c>
      <c r="AC55" s="32" t="s">
        <v>19</v>
      </c>
      <c r="AD55" s="33" t="s">
        <v>38</v>
      </c>
      <c r="AE55" s="46" t="s">
        <v>41</v>
      </c>
      <c r="AF55" s="47" t="s">
        <v>90</v>
      </c>
      <c r="AG55" s="48" t="s">
        <v>91</v>
      </c>
      <c r="AH55" s="49" t="s">
        <v>42</v>
      </c>
      <c r="AI55" s="49" t="s">
        <v>43</v>
      </c>
      <c r="AJ55" s="49" t="s">
        <v>20</v>
      </c>
    </row>
    <row r="56" spans="2:36" x14ac:dyDescent="0.2">
      <c r="AA56" s="28" t="s">
        <v>21</v>
      </c>
      <c r="AB56" s="34" t="s">
        <v>22</v>
      </c>
      <c r="AC56" s="35" t="s">
        <v>23</v>
      </c>
      <c r="AD56" s="132" t="s">
        <v>40</v>
      </c>
      <c r="AE56" s="50" t="s">
        <v>24</v>
      </c>
      <c r="AF56" s="50" t="s">
        <v>92</v>
      </c>
      <c r="AG56" s="50" t="s">
        <v>92</v>
      </c>
      <c r="AH56" s="50" t="s">
        <v>25</v>
      </c>
      <c r="AI56" s="50" t="s">
        <v>25</v>
      </c>
      <c r="AJ56" s="50" t="s">
        <v>26</v>
      </c>
    </row>
    <row r="57" spans="2:36" x14ac:dyDescent="0.2">
      <c r="AA57" s="1"/>
      <c r="AB57" s="36" t="s">
        <v>39</v>
      </c>
      <c r="AC57" s="37" t="s">
        <v>114</v>
      </c>
      <c r="AD57" s="133"/>
      <c r="AE57" s="51" t="s">
        <v>28</v>
      </c>
      <c r="AF57" s="51" t="s">
        <v>29</v>
      </c>
      <c r="AG57" s="51" t="s">
        <v>30</v>
      </c>
      <c r="AH57" s="51" t="s">
        <v>29</v>
      </c>
      <c r="AI57" s="51" t="s">
        <v>30</v>
      </c>
      <c r="AJ57" s="51" t="s">
        <v>31</v>
      </c>
    </row>
    <row r="58" spans="2:36" ht="15" thickBot="1" x14ac:dyDescent="0.25">
      <c r="AA58" s="61"/>
      <c r="AB58" s="38" t="s">
        <v>32</v>
      </c>
      <c r="AC58" s="39" t="s">
        <v>33</v>
      </c>
      <c r="AD58" s="39" t="s">
        <v>34</v>
      </c>
      <c r="AE58" s="52"/>
      <c r="AF58" s="52" t="s">
        <v>35</v>
      </c>
      <c r="AG58" s="52" t="s">
        <v>35</v>
      </c>
      <c r="AH58" s="52" t="s">
        <v>35</v>
      </c>
      <c r="AI58" s="52" t="s">
        <v>35</v>
      </c>
      <c r="AJ58" s="52" t="s">
        <v>36</v>
      </c>
    </row>
    <row r="59" spans="2:36" ht="13.5" thickTop="1" x14ac:dyDescent="0.2">
      <c r="AA59" s="29">
        <v>1</v>
      </c>
      <c r="AB59" s="40">
        <v>25</v>
      </c>
      <c r="AC59" s="40">
        <f>6.407*POWER(AD59, -0.5478)</f>
        <v>0.42635686668632283</v>
      </c>
      <c r="AD59" s="41">
        <f>($O$12/6.407)^(1/0.4522)</f>
        <v>140.72718112018336</v>
      </c>
      <c r="AE59" s="53">
        <f t="shared" ref="AE59:AE64" si="24">$O$11/AB59</f>
        <v>100</v>
      </c>
      <c r="AF59" s="54">
        <f t="shared" ref="AF59:AF64" si="25">($C$21+$C$22/AE59)*100/($O$13-4.9)</f>
        <v>5</v>
      </c>
      <c r="AG59" s="53">
        <f t="shared" ref="AG59:AG64" si="26">AF59*AE59</f>
        <v>500</v>
      </c>
      <c r="AH59" s="55">
        <f t="shared" ref="AH59:AH64" si="27">SQRT(AD59/AE59)</f>
        <v>1.1862848777599053</v>
      </c>
      <c r="AI59" s="56">
        <f t="shared" ref="AI59:AI64" si="28">(AH59*AE59)</f>
        <v>118.62848777599054</v>
      </c>
      <c r="AJ59" s="57">
        <f t="shared" ref="AJ59:AJ64" si="29">(($C$21/AH59)+($C$22/AI59))*100+5</f>
        <v>47.569875876155947</v>
      </c>
    </row>
    <row r="60" spans="2:36" x14ac:dyDescent="0.2">
      <c r="AA60" s="29">
        <v>2</v>
      </c>
      <c r="AB60" s="40">
        <v>50</v>
      </c>
      <c r="AC60" s="40">
        <f>5.126*POWER(AD60, -0.5478)</f>
        <v>0.26033967081185549</v>
      </c>
      <c r="AD60" s="41">
        <f>($O$12/5.126)^(1/0.4522)</f>
        <v>230.46814115149328</v>
      </c>
      <c r="AE60" s="53">
        <f t="shared" si="24"/>
        <v>50</v>
      </c>
      <c r="AF60" s="54">
        <f t="shared" si="25"/>
        <v>5.0495049504950495</v>
      </c>
      <c r="AG60" s="53">
        <f t="shared" si="26"/>
        <v>252.47524752475249</v>
      </c>
      <c r="AH60" s="55">
        <f t="shared" si="27"/>
        <v>2.1469426687803903</v>
      </c>
      <c r="AI60" s="56">
        <f t="shared" si="28"/>
        <v>107.34713343901952</v>
      </c>
      <c r="AJ60" s="57">
        <f t="shared" si="29"/>
        <v>28.754709774794069</v>
      </c>
    </row>
    <row r="61" spans="2:36" x14ac:dyDescent="0.2">
      <c r="AA61" s="29">
        <v>3</v>
      </c>
      <c r="AB61" s="40">
        <v>75</v>
      </c>
      <c r="AC61" s="40">
        <f>5.126*POWER(AD61, -0.5478)</f>
        <v>0.26033967081185549</v>
      </c>
      <c r="AD61" s="41">
        <f>($O$12/5.126)^(1/0.4522)</f>
        <v>230.46814115149328</v>
      </c>
      <c r="AE61" s="53">
        <f t="shared" si="24"/>
        <v>33.333333333333336</v>
      </c>
      <c r="AF61" s="54">
        <f t="shared" si="25"/>
        <v>5.0990099009900991</v>
      </c>
      <c r="AG61" s="53">
        <f t="shared" si="26"/>
        <v>169.96699669966998</v>
      </c>
      <c r="AH61" s="55">
        <f t="shared" si="27"/>
        <v>2.6294570227605543</v>
      </c>
      <c r="AI61" s="56">
        <f t="shared" si="28"/>
        <v>87.648567425351814</v>
      </c>
      <c r="AJ61" s="57">
        <f t="shared" si="29"/>
        <v>24.585792638638509</v>
      </c>
    </row>
    <row r="62" spans="2:36" x14ac:dyDescent="0.2">
      <c r="AA62" s="29">
        <v>4</v>
      </c>
      <c r="AB62" s="40">
        <v>100</v>
      </c>
      <c r="AC62" s="40">
        <f>3.844*POWER(AD62, -0.5478)</f>
        <v>0.13776045089916994</v>
      </c>
      <c r="AD62" s="41">
        <f>($O$12/3.844)^(1/0.4522)</f>
        <v>435.53864413463185</v>
      </c>
      <c r="AE62" s="53">
        <f t="shared" si="24"/>
        <v>25</v>
      </c>
      <c r="AF62" s="54">
        <f t="shared" si="25"/>
        <v>5.1485148514851486</v>
      </c>
      <c r="AG62" s="53">
        <f t="shared" si="26"/>
        <v>128.71287128712871</v>
      </c>
      <c r="AH62" s="55">
        <f t="shared" si="27"/>
        <v>4.1739125248842095</v>
      </c>
      <c r="AI62" s="56">
        <f t="shared" si="28"/>
        <v>104.34781312210524</v>
      </c>
      <c r="AJ62" s="57">
        <f t="shared" si="29"/>
        <v>17.458334881237732</v>
      </c>
    </row>
    <row r="63" spans="2:36" x14ac:dyDescent="0.2">
      <c r="AA63" s="29">
        <v>5</v>
      </c>
      <c r="AB63" s="40">
        <v>250</v>
      </c>
      <c r="AC63" s="40">
        <f>3.844*POWER(AD63, -0.5478)</f>
        <v>0.13776045089916994</v>
      </c>
      <c r="AD63" s="41">
        <f>($O$12/3.844)^(1/0.4522)</f>
        <v>435.53864413463185</v>
      </c>
      <c r="AE63" s="53">
        <f t="shared" si="24"/>
        <v>10</v>
      </c>
      <c r="AF63" s="54">
        <f t="shared" si="25"/>
        <v>5.4455445544554468</v>
      </c>
      <c r="AG63" s="53">
        <f t="shared" si="26"/>
        <v>54.455445544554465</v>
      </c>
      <c r="AH63" s="55">
        <f t="shared" si="27"/>
        <v>6.599535166469165</v>
      </c>
      <c r="AI63" s="56">
        <f t="shared" si="28"/>
        <v>65.995351664691654</v>
      </c>
      <c r="AJ63" s="57">
        <f t="shared" si="29"/>
        <v>13.333920285695772</v>
      </c>
    </row>
    <row r="64" spans="2:36" ht="13.5" thickBot="1" x14ac:dyDescent="0.25">
      <c r="AA64" s="29">
        <v>6</v>
      </c>
      <c r="AB64" s="40">
        <v>1000</v>
      </c>
      <c r="AC64" s="40">
        <f>6.047*POWER(AD64, -0.5478)</f>
        <v>0.40240049521651222</v>
      </c>
      <c r="AD64" s="41">
        <f>($O$12/6.407)^(1/0.4522)</f>
        <v>140.72718112018336</v>
      </c>
      <c r="AE64" s="53">
        <f t="shared" si="24"/>
        <v>2.5</v>
      </c>
      <c r="AF64" s="54">
        <f t="shared" si="25"/>
        <v>6.9306930693069306</v>
      </c>
      <c r="AG64" s="53">
        <f t="shared" si="26"/>
        <v>17.326732673267326</v>
      </c>
      <c r="AH64" s="55">
        <f t="shared" si="27"/>
        <v>7.5027243350714512</v>
      </c>
      <c r="AI64" s="56">
        <f t="shared" si="28"/>
        <v>18.756810837678628</v>
      </c>
      <c r="AJ64" s="57">
        <f t="shared" si="29"/>
        <v>14.32994428074417</v>
      </c>
    </row>
    <row r="65" spans="27:36" ht="13.5" thickBot="1" x14ac:dyDescent="0.25">
      <c r="AA65" s="59" t="s">
        <v>5</v>
      </c>
      <c r="AB65" s="2"/>
      <c r="AC65" s="2"/>
      <c r="AD65" s="2"/>
      <c r="AE65" s="2"/>
      <c r="AH65" s="2"/>
      <c r="AI65" s="2"/>
      <c r="AJ65" s="2"/>
    </row>
    <row r="66" spans="27:36" x14ac:dyDescent="0.2">
      <c r="AA66" s="27"/>
      <c r="AB66" s="30"/>
      <c r="AC66" s="30"/>
      <c r="AD66" s="30"/>
      <c r="AE66" s="42"/>
      <c r="AF66" s="43"/>
      <c r="AG66" s="44"/>
      <c r="AH66" s="42"/>
      <c r="AI66" s="42"/>
      <c r="AJ66" s="45"/>
    </row>
    <row r="67" spans="27:36" ht="14.25" x14ac:dyDescent="0.25">
      <c r="AA67" s="60"/>
      <c r="AB67" s="31" t="s">
        <v>18</v>
      </c>
      <c r="AC67" s="32" t="s">
        <v>19</v>
      </c>
      <c r="AD67" s="33" t="s">
        <v>38</v>
      </c>
      <c r="AE67" s="46" t="s">
        <v>41</v>
      </c>
      <c r="AF67" s="47" t="s">
        <v>90</v>
      </c>
      <c r="AG67" s="48" t="s">
        <v>91</v>
      </c>
      <c r="AH67" s="49" t="s">
        <v>42</v>
      </c>
      <c r="AI67" s="49" t="s">
        <v>43</v>
      </c>
      <c r="AJ67" s="49" t="s">
        <v>20</v>
      </c>
    </row>
    <row r="68" spans="27:36" x14ac:dyDescent="0.2">
      <c r="AA68" s="28" t="s">
        <v>21</v>
      </c>
      <c r="AB68" s="34" t="s">
        <v>22</v>
      </c>
      <c r="AC68" s="35" t="s">
        <v>23</v>
      </c>
      <c r="AD68" s="132" t="s">
        <v>40</v>
      </c>
      <c r="AE68" s="50" t="s">
        <v>24</v>
      </c>
      <c r="AF68" s="50" t="s">
        <v>92</v>
      </c>
      <c r="AG68" s="50" t="s">
        <v>92</v>
      </c>
      <c r="AH68" s="50" t="s">
        <v>25</v>
      </c>
      <c r="AI68" s="50" t="s">
        <v>25</v>
      </c>
      <c r="AJ68" s="50" t="s">
        <v>26</v>
      </c>
    </row>
    <row r="69" spans="27:36" x14ac:dyDescent="0.2">
      <c r="AA69" s="1"/>
      <c r="AB69" s="36" t="s">
        <v>39</v>
      </c>
      <c r="AC69" s="37" t="s">
        <v>114</v>
      </c>
      <c r="AD69" s="133"/>
      <c r="AE69" s="51" t="s">
        <v>28</v>
      </c>
      <c r="AF69" s="51" t="s">
        <v>29</v>
      </c>
      <c r="AG69" s="51" t="s">
        <v>30</v>
      </c>
      <c r="AH69" s="51" t="s">
        <v>29</v>
      </c>
      <c r="AI69" s="51" t="s">
        <v>30</v>
      </c>
      <c r="AJ69" s="51" t="s">
        <v>31</v>
      </c>
    </row>
    <row r="70" spans="27:36" ht="15" thickBot="1" x14ac:dyDescent="0.25">
      <c r="AA70" s="61"/>
      <c r="AB70" s="38" t="s">
        <v>32</v>
      </c>
      <c r="AC70" s="39" t="s">
        <v>33</v>
      </c>
      <c r="AD70" s="39" t="s">
        <v>34</v>
      </c>
      <c r="AE70" s="52"/>
      <c r="AF70" s="52" t="s">
        <v>35</v>
      </c>
      <c r="AG70" s="52" t="s">
        <v>35</v>
      </c>
      <c r="AH70" s="52" t="s">
        <v>35</v>
      </c>
      <c r="AI70" s="52" t="s">
        <v>35</v>
      </c>
      <c r="AJ70" s="52" t="s">
        <v>36</v>
      </c>
    </row>
    <row r="71" spans="27:36" ht="13.5" thickTop="1" x14ac:dyDescent="0.2">
      <c r="AA71" s="29">
        <v>1</v>
      </c>
      <c r="AB71" s="40">
        <v>25</v>
      </c>
      <c r="AC71" s="40">
        <f>6.407*POWER(AD71, -0.5478)</f>
        <v>0.42635686668632283</v>
      </c>
      <c r="AD71" s="41">
        <f>($R$12/6.407)^(1/0.4522)</f>
        <v>140.72718112018336</v>
      </c>
      <c r="AE71" s="53">
        <f t="shared" ref="AE71:AE76" si="30">$R$11/AB71</f>
        <v>200</v>
      </c>
      <c r="AF71" s="54">
        <f t="shared" ref="AF71:AF76" si="31">($C$21+$C$22/AE71)*100/($R$13-4.9)</f>
        <v>3.3278145695364234</v>
      </c>
      <c r="AG71" s="53">
        <f t="shared" ref="AG71:AG76" si="32">AF71*AE71</f>
        <v>665.56291390728472</v>
      </c>
      <c r="AH71" s="55">
        <f t="shared" ref="AH71:AH76" si="33">SQRT(AD71/AE71)</f>
        <v>0.83883008148308369</v>
      </c>
      <c r="AI71" s="56">
        <f t="shared" ref="AI71:AI76" si="34">(AH71*AE71)</f>
        <v>167.76601629661673</v>
      </c>
      <c r="AJ71" s="57">
        <f t="shared" ref="AJ71:AJ76" si="35">(($C$21/AH71)+($C$22/AI71))*100+5</f>
        <v>64.904861674912837</v>
      </c>
    </row>
    <row r="72" spans="27:36" x14ac:dyDescent="0.2">
      <c r="AA72" s="29">
        <v>2</v>
      </c>
      <c r="AB72" s="40">
        <v>50</v>
      </c>
      <c r="AC72" s="40">
        <f>5.126*POWER(AD72, -0.5478)</f>
        <v>0.26033967081185549</v>
      </c>
      <c r="AD72" s="41">
        <f>($R$12/5.126)^(1/0.4522)</f>
        <v>230.46814115149328</v>
      </c>
      <c r="AE72" s="53">
        <f t="shared" si="30"/>
        <v>100</v>
      </c>
      <c r="AF72" s="54">
        <f t="shared" si="31"/>
        <v>3.3443708609271523</v>
      </c>
      <c r="AG72" s="53">
        <f t="shared" si="32"/>
        <v>334.43708609271522</v>
      </c>
      <c r="AH72" s="55">
        <f t="shared" si="33"/>
        <v>1.518117719913358</v>
      </c>
      <c r="AI72" s="56">
        <f t="shared" si="34"/>
        <v>151.8117719913358</v>
      </c>
      <c r="AJ72" s="57">
        <f t="shared" si="35"/>
        <v>38.264877510870591</v>
      </c>
    </row>
    <row r="73" spans="27:36" x14ac:dyDescent="0.2">
      <c r="AA73" s="29">
        <v>3</v>
      </c>
      <c r="AB73" s="40">
        <v>75</v>
      </c>
      <c r="AC73" s="40">
        <f>5.126*POWER(AD73, -0.5478)</f>
        <v>0.26033967081185549</v>
      </c>
      <c r="AD73" s="41">
        <f>($R$12/5.126)^(1/0.4522)</f>
        <v>230.46814115149328</v>
      </c>
      <c r="AE73" s="53">
        <f t="shared" si="30"/>
        <v>66.666666666666671</v>
      </c>
      <c r="AF73" s="54">
        <f t="shared" si="31"/>
        <v>3.3609271523178803</v>
      </c>
      <c r="AG73" s="53">
        <f t="shared" si="32"/>
        <v>224.06181015452538</v>
      </c>
      <c r="AH73" s="55">
        <f t="shared" si="33"/>
        <v>1.8593068916325779</v>
      </c>
      <c r="AI73" s="56">
        <f t="shared" si="34"/>
        <v>123.95379277550521</v>
      </c>
      <c r="AJ73" s="57">
        <f t="shared" si="35"/>
        <v>32.295117459301508</v>
      </c>
    </row>
    <row r="74" spans="27:36" x14ac:dyDescent="0.2">
      <c r="AA74" s="29">
        <v>4</v>
      </c>
      <c r="AB74" s="40">
        <v>100</v>
      </c>
      <c r="AC74" s="40">
        <f>3.844*POWER(AD74, -0.5478)</f>
        <v>0.13776045089916994</v>
      </c>
      <c r="AD74" s="41">
        <f>($R$12/3.844)^(1/0.4522)</f>
        <v>435.53864413463185</v>
      </c>
      <c r="AE74" s="53">
        <f t="shared" si="30"/>
        <v>50</v>
      </c>
      <c r="AF74" s="54">
        <f t="shared" si="31"/>
        <v>3.3774834437086092</v>
      </c>
      <c r="AG74" s="53">
        <f t="shared" si="32"/>
        <v>168.87417218543047</v>
      </c>
      <c r="AH74" s="55">
        <f t="shared" si="33"/>
        <v>2.9514018504250887</v>
      </c>
      <c r="AI74" s="56">
        <f t="shared" si="34"/>
        <v>147.57009252125442</v>
      </c>
      <c r="AJ74" s="57">
        <f t="shared" si="35"/>
        <v>22.2799241122162</v>
      </c>
    </row>
    <row r="75" spans="27:36" x14ac:dyDescent="0.2">
      <c r="AA75" s="29">
        <v>5</v>
      </c>
      <c r="AB75" s="40">
        <v>250</v>
      </c>
      <c r="AC75" s="40">
        <f>3.844*POWER(AD75, -0.5478)</f>
        <v>0.13776045089916994</v>
      </c>
      <c r="AD75" s="41">
        <f>($R$12/3.844)^(1/0.4522)</f>
        <v>435.53864413463185</v>
      </c>
      <c r="AE75" s="53">
        <f t="shared" si="30"/>
        <v>20</v>
      </c>
      <c r="AF75" s="54">
        <f t="shared" si="31"/>
        <v>3.4768211920529803</v>
      </c>
      <c r="AG75" s="53">
        <f t="shared" si="32"/>
        <v>69.536423841059602</v>
      </c>
      <c r="AH75" s="55">
        <f t="shared" si="33"/>
        <v>4.6665760688894373</v>
      </c>
      <c r="AI75" s="56">
        <f t="shared" si="34"/>
        <v>93.331521377788746</v>
      </c>
      <c r="AJ75" s="57">
        <f t="shared" si="35"/>
        <v>16.250218409595981</v>
      </c>
    </row>
    <row r="76" spans="27:36" x14ac:dyDescent="0.2">
      <c r="AA76" s="29">
        <v>6</v>
      </c>
      <c r="AB76" s="40">
        <v>1000</v>
      </c>
      <c r="AC76" s="40">
        <f>6.047*POWER(AD76, -0.5478)</f>
        <v>0.40240049521651222</v>
      </c>
      <c r="AD76" s="41">
        <f>($R$12/6.407)^(1/0.4522)</f>
        <v>140.72718112018336</v>
      </c>
      <c r="AE76" s="53">
        <f t="shared" si="30"/>
        <v>5</v>
      </c>
      <c r="AF76" s="54">
        <f t="shared" si="31"/>
        <v>3.9735099337748347</v>
      </c>
      <c r="AG76" s="53">
        <f t="shared" si="32"/>
        <v>19.867549668874172</v>
      </c>
      <c r="AH76" s="55">
        <f t="shared" si="33"/>
        <v>5.3052272547023538</v>
      </c>
      <c r="AI76" s="56">
        <f t="shared" si="34"/>
        <v>26.526136273511767</v>
      </c>
      <c r="AJ76" s="57">
        <f t="shared" si="35"/>
        <v>16.309600346868883</v>
      </c>
    </row>
  </sheetData>
  <sheetProtection password="CADF" sheet="1" objects="1" scenarios="1" selectLockedCells="1"/>
  <mergeCells count="93">
    <mergeCell ref="C49:D49"/>
    <mergeCell ref="R49:S49"/>
    <mergeCell ref="O49:P49"/>
    <mergeCell ref="L49:M49"/>
    <mergeCell ref="I49:J49"/>
    <mergeCell ref="R54:S54"/>
    <mergeCell ref="O50:P50"/>
    <mergeCell ref="O51:P51"/>
    <mergeCell ref="O52:P52"/>
    <mergeCell ref="O53:P53"/>
    <mergeCell ref="F49:G49"/>
    <mergeCell ref="L50:M50"/>
    <mergeCell ref="L51:M51"/>
    <mergeCell ref="L52:M52"/>
    <mergeCell ref="L53:M53"/>
    <mergeCell ref="L54:M54"/>
    <mergeCell ref="I50:J50"/>
    <mergeCell ref="I51:J51"/>
    <mergeCell ref="I52:J52"/>
    <mergeCell ref="I53:J53"/>
    <mergeCell ref="F54:G54"/>
    <mergeCell ref="C50:D50"/>
    <mergeCell ref="C51:D51"/>
    <mergeCell ref="C52:D52"/>
    <mergeCell ref="C53:D53"/>
    <mergeCell ref="I54:J54"/>
    <mergeCell ref="A1:T1"/>
    <mergeCell ref="AD8:AD9"/>
    <mergeCell ref="B9:S9"/>
    <mergeCell ref="A4:S4"/>
    <mergeCell ref="A2:T2"/>
    <mergeCell ref="C54:D54"/>
    <mergeCell ref="F50:G50"/>
    <mergeCell ref="F51:G51"/>
    <mergeCell ref="F52:G52"/>
    <mergeCell ref="F53:G53"/>
    <mergeCell ref="F11:G11"/>
    <mergeCell ref="I11:J11"/>
    <mergeCell ref="L11:M11"/>
    <mergeCell ref="C10:D10"/>
    <mergeCell ref="F10:G10"/>
    <mergeCell ref="I10:J10"/>
    <mergeCell ref="L10:M10"/>
    <mergeCell ref="L31:M31"/>
    <mergeCell ref="O31:P31"/>
    <mergeCell ref="R31:S31"/>
    <mergeCell ref="C20:D20"/>
    <mergeCell ref="O10:P10"/>
    <mergeCell ref="R10:S10"/>
    <mergeCell ref="O11:P11"/>
    <mergeCell ref="R11:S11"/>
    <mergeCell ref="R12:S12"/>
    <mergeCell ref="C11:D11"/>
    <mergeCell ref="AD68:AD69"/>
    <mergeCell ref="AD44:AD45"/>
    <mergeCell ref="O33:P33"/>
    <mergeCell ref="R33:S33"/>
    <mergeCell ref="AD32:AD33"/>
    <mergeCell ref="O54:P54"/>
    <mergeCell ref="R50:S50"/>
    <mergeCell ref="R51:S51"/>
    <mergeCell ref="R52:S52"/>
    <mergeCell ref="R53:S53"/>
    <mergeCell ref="H14:P14"/>
    <mergeCell ref="O13:P13"/>
    <mergeCell ref="B19:D19"/>
    <mergeCell ref="AD56:AD57"/>
    <mergeCell ref="AD20:AD21"/>
    <mergeCell ref="B30:S30"/>
    <mergeCell ref="B31:B32"/>
    <mergeCell ref="C31:D31"/>
    <mergeCell ref="F31:G31"/>
    <mergeCell ref="I31:J31"/>
    <mergeCell ref="R13:S13"/>
    <mergeCell ref="C12:D12"/>
    <mergeCell ref="F12:G12"/>
    <mergeCell ref="C13:D13"/>
    <mergeCell ref="F13:G13"/>
    <mergeCell ref="I13:J13"/>
    <mergeCell ref="L13:M13"/>
    <mergeCell ref="I12:J12"/>
    <mergeCell ref="L12:M12"/>
    <mergeCell ref="O12:P12"/>
    <mergeCell ref="B46:S46"/>
    <mergeCell ref="A25:T25"/>
    <mergeCell ref="A15:S15"/>
    <mergeCell ref="A40:T40"/>
    <mergeCell ref="C33:D33"/>
    <mergeCell ref="F33:G33"/>
    <mergeCell ref="I33:J33"/>
    <mergeCell ref="L33:M33"/>
    <mergeCell ref="C21:D21"/>
    <mergeCell ref="C22:D22"/>
  </mergeCells>
  <phoneticPr fontId="0" type="noConversion"/>
  <pageMargins left="0.75" right="0.75" top="1" bottom="1" header="0.5" footer="0.5"/>
  <pageSetup scale="65" fitToWidth="2" orientation="landscape" copies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J70"/>
  <sheetViews>
    <sheetView showGridLines="0" workbookViewId="0">
      <selection activeCell="C11" sqref="C11:D11"/>
    </sheetView>
  </sheetViews>
  <sheetFormatPr defaultRowHeight="12.75" x14ac:dyDescent="0.2"/>
  <cols>
    <col min="1" max="1" width="2.140625" customWidth="1"/>
    <col min="2" max="2" width="23.85546875" customWidth="1"/>
    <col min="3" max="4" width="9.7109375" customWidth="1"/>
    <col min="5" max="5" width="4.7109375" customWidth="1"/>
    <col min="6" max="7" width="9.7109375" customWidth="1"/>
    <col min="8" max="8" width="4.7109375" customWidth="1"/>
    <col min="9" max="10" width="9.7109375" customWidth="1"/>
    <col min="11" max="11" width="4.7109375" customWidth="1"/>
    <col min="12" max="13" width="9.7109375" customWidth="1"/>
    <col min="14" max="14" width="4.7109375" customWidth="1"/>
    <col min="15" max="16" width="9.7109375" customWidth="1"/>
    <col min="17" max="17" width="4.7109375" customWidth="1"/>
    <col min="18" max="19" width="9.7109375" customWidth="1"/>
    <col min="20" max="20" width="4.7109375" customWidth="1"/>
    <col min="21" max="25" width="1.5703125" customWidth="1"/>
    <col min="26" max="26" width="57.7109375" customWidth="1"/>
    <col min="27" max="27" width="10.28515625" customWidth="1"/>
    <col min="28" max="28" width="10.85546875" bestFit="1" customWidth="1"/>
    <col min="32" max="32" width="10.28515625" customWidth="1"/>
    <col min="33" max="33" width="9.42578125" customWidth="1"/>
  </cols>
  <sheetData>
    <row r="1" spans="1:36" ht="15.75" x14ac:dyDescent="0.25">
      <c r="A1" s="150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ht="15.75" x14ac:dyDescent="0.25">
      <c r="A2" s="152" t="s">
        <v>128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36" ht="15.75" x14ac:dyDescent="0.25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36" ht="13.5" thickBot="1" x14ac:dyDescent="0.25">
      <c r="A4" s="119" t="s">
        <v>124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36" ht="13.5" thickBot="1" x14ac:dyDescent="0.25">
      <c r="AA5" s="58" t="s">
        <v>0</v>
      </c>
      <c r="AB5" s="2"/>
      <c r="AC5" s="2"/>
      <c r="AD5" s="2"/>
      <c r="AE5" s="2"/>
      <c r="AH5" s="2"/>
      <c r="AI5" s="2"/>
      <c r="AJ5" s="2"/>
    </row>
    <row r="6" spans="1:36" x14ac:dyDescent="0.2">
      <c r="B6" t="s">
        <v>70</v>
      </c>
      <c r="AA6" s="27"/>
      <c r="AB6" s="30"/>
      <c r="AC6" s="30"/>
      <c r="AD6" s="30"/>
      <c r="AE6" s="42"/>
      <c r="AF6" s="43"/>
      <c r="AG6" s="44"/>
      <c r="AH6" s="42"/>
      <c r="AI6" s="42"/>
      <c r="AJ6" s="45"/>
    </row>
    <row r="7" spans="1:36" ht="14.25" x14ac:dyDescent="0.25">
      <c r="B7" s="170" t="s">
        <v>67</v>
      </c>
      <c r="C7" s="170"/>
      <c r="AA7" s="60"/>
      <c r="AB7" s="31" t="s">
        <v>37</v>
      </c>
      <c r="AC7" s="32" t="s">
        <v>19</v>
      </c>
      <c r="AD7" s="33" t="s">
        <v>38</v>
      </c>
      <c r="AE7" s="46" t="s">
        <v>41</v>
      </c>
      <c r="AF7" s="47" t="s">
        <v>46</v>
      </c>
      <c r="AG7" s="48" t="s">
        <v>50</v>
      </c>
      <c r="AH7" s="49" t="s">
        <v>42</v>
      </c>
      <c r="AI7" s="49" t="s">
        <v>43</v>
      </c>
      <c r="AJ7" s="49" t="s">
        <v>20</v>
      </c>
    </row>
    <row r="8" spans="1:36" x14ac:dyDescent="0.2">
      <c r="AA8" s="28" t="s">
        <v>21</v>
      </c>
      <c r="AB8" s="34" t="s">
        <v>22</v>
      </c>
      <c r="AC8" s="35" t="s">
        <v>23</v>
      </c>
      <c r="AD8" s="132" t="s">
        <v>40</v>
      </c>
      <c r="AE8" s="50" t="s">
        <v>24</v>
      </c>
      <c r="AF8" s="50" t="s">
        <v>47</v>
      </c>
      <c r="AG8" s="50" t="s">
        <v>23</v>
      </c>
      <c r="AH8" s="50" t="s">
        <v>25</v>
      </c>
      <c r="AI8" s="50" t="s">
        <v>25</v>
      </c>
      <c r="AJ8" s="50" t="s">
        <v>26</v>
      </c>
    </row>
    <row r="9" spans="1:36" x14ac:dyDescent="0.2">
      <c r="B9" s="118" t="s">
        <v>6</v>
      </c>
      <c r="C9" s="151"/>
      <c r="D9" s="151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AA9" s="1"/>
      <c r="AB9" s="36" t="s">
        <v>39</v>
      </c>
      <c r="AC9" s="37" t="s">
        <v>27</v>
      </c>
      <c r="AD9" s="133"/>
      <c r="AE9" s="51" t="s">
        <v>28</v>
      </c>
      <c r="AF9" s="51" t="s">
        <v>48</v>
      </c>
      <c r="AG9" s="51" t="s">
        <v>51</v>
      </c>
      <c r="AH9" s="51" t="s">
        <v>29</v>
      </c>
      <c r="AI9" s="51" t="s">
        <v>30</v>
      </c>
      <c r="AJ9" s="51" t="s">
        <v>31</v>
      </c>
    </row>
    <row r="10" spans="1:36" ht="15.75" thickBot="1" x14ac:dyDescent="0.3">
      <c r="B10" s="15"/>
      <c r="C10" s="142" t="s">
        <v>9</v>
      </c>
      <c r="D10" s="143"/>
      <c r="E10" s="6"/>
      <c r="F10" s="144" t="s">
        <v>10</v>
      </c>
      <c r="G10" s="145"/>
      <c r="H10" s="4"/>
      <c r="I10" s="142" t="s">
        <v>11</v>
      </c>
      <c r="J10" s="143"/>
      <c r="K10" s="4"/>
      <c r="L10" s="144" t="s">
        <v>12</v>
      </c>
      <c r="M10" s="145"/>
      <c r="N10" s="4"/>
      <c r="O10" s="142" t="s">
        <v>13</v>
      </c>
      <c r="P10" s="143"/>
      <c r="Q10" s="4"/>
      <c r="R10" s="144" t="s">
        <v>14</v>
      </c>
      <c r="S10" s="145"/>
      <c r="AA10" s="61"/>
      <c r="AB10" s="38" t="s">
        <v>32</v>
      </c>
      <c r="AC10" s="39" t="s">
        <v>33</v>
      </c>
      <c r="AD10" s="39" t="s">
        <v>34</v>
      </c>
      <c r="AE10" s="92"/>
      <c r="AF10" s="105" t="s">
        <v>49</v>
      </c>
      <c r="AG10" s="105" t="s">
        <v>52</v>
      </c>
      <c r="AH10" s="105" t="s">
        <v>35</v>
      </c>
      <c r="AI10" s="105" t="s">
        <v>35</v>
      </c>
      <c r="AJ10" s="105" t="s">
        <v>36</v>
      </c>
    </row>
    <row r="11" spans="1:36" x14ac:dyDescent="0.2">
      <c r="B11" s="12" t="s">
        <v>44</v>
      </c>
      <c r="C11" s="146">
        <v>10</v>
      </c>
      <c r="D11" s="147"/>
      <c r="E11" s="3"/>
      <c r="F11" s="148">
        <v>60</v>
      </c>
      <c r="G11" s="149"/>
      <c r="H11" s="5"/>
      <c r="I11" s="146">
        <v>90</v>
      </c>
      <c r="J11" s="147"/>
      <c r="K11" s="5"/>
      <c r="L11" s="148">
        <v>120</v>
      </c>
      <c r="M11" s="149"/>
      <c r="N11" s="5"/>
      <c r="O11" s="146">
        <v>240</v>
      </c>
      <c r="P11" s="147"/>
      <c r="Q11" s="5"/>
      <c r="R11" s="148">
        <v>480</v>
      </c>
      <c r="S11" s="149"/>
      <c r="AA11" s="29">
        <v>1</v>
      </c>
      <c r="AB11" s="40">
        <v>25</v>
      </c>
      <c r="AC11" s="40">
        <f>6.407*POWER(AD11, -0.5478)</f>
        <v>0.5141084285809101</v>
      </c>
      <c r="AD11" s="41">
        <f>$C$11*$C$12</f>
        <v>100</v>
      </c>
      <c r="AE11" s="53">
        <f>$C$11/$C$12</f>
        <v>1</v>
      </c>
      <c r="AF11" s="54">
        <f>AB11*AE11</f>
        <v>25</v>
      </c>
      <c r="AG11" s="53">
        <f>AC11*AD11</f>
        <v>51.410842858091009</v>
      </c>
      <c r="AH11" s="55">
        <f>SQRT(AD11/AE11)</f>
        <v>10</v>
      </c>
      <c r="AI11" s="56">
        <f>(AH11*AE11)</f>
        <v>10</v>
      </c>
      <c r="AJ11" s="57">
        <f>(($C$21/AH11)+($C$22/AI11))*100+5</f>
        <v>15</v>
      </c>
    </row>
    <row r="12" spans="1:36" x14ac:dyDescent="0.2">
      <c r="B12" s="12" t="s">
        <v>45</v>
      </c>
      <c r="C12" s="126">
        <v>10</v>
      </c>
      <c r="D12" s="127"/>
      <c r="E12" s="3"/>
      <c r="F12" s="128">
        <v>15</v>
      </c>
      <c r="G12" s="129"/>
      <c r="H12" s="5"/>
      <c r="I12" s="126">
        <v>15</v>
      </c>
      <c r="J12" s="127"/>
      <c r="K12" s="5"/>
      <c r="L12" s="128">
        <v>20</v>
      </c>
      <c r="M12" s="129"/>
      <c r="N12" s="5"/>
      <c r="O12" s="126">
        <v>20</v>
      </c>
      <c r="P12" s="127"/>
      <c r="Q12" s="5"/>
      <c r="R12" s="128">
        <v>40</v>
      </c>
      <c r="S12" s="129"/>
      <c r="AA12" s="29">
        <v>2</v>
      </c>
      <c r="AB12" s="40">
        <v>50</v>
      </c>
      <c r="AC12" s="40">
        <f>5.126*POWER(AD12, -0.5478)</f>
        <v>0.41131883953578047</v>
      </c>
      <c r="AD12" s="41">
        <f>$C$11*$C$12</f>
        <v>100</v>
      </c>
      <c r="AE12" s="53">
        <f>$C$11/$C$12</f>
        <v>1</v>
      </c>
      <c r="AF12" s="54">
        <f>AB12*AE12</f>
        <v>50</v>
      </c>
      <c r="AG12" s="53">
        <f>AC12*AD12</f>
        <v>41.131883953578047</v>
      </c>
      <c r="AH12" s="55">
        <f>SQRT(AD12/AE12)</f>
        <v>10</v>
      </c>
      <c r="AI12" s="56">
        <f>(AH12*AE12)</f>
        <v>10</v>
      </c>
      <c r="AJ12" s="57">
        <f>(($C$21/AH12)+($C$22/AI12))*100+5</f>
        <v>15</v>
      </c>
    </row>
    <row r="13" spans="1:36" x14ac:dyDescent="0.2">
      <c r="AA13" s="29">
        <v>3</v>
      </c>
      <c r="AB13" s="40">
        <v>100</v>
      </c>
      <c r="AC13" s="40">
        <f>3.844*POWER(AD13, -0.5478)</f>
        <v>0.3084490088130199</v>
      </c>
      <c r="AD13" s="41">
        <f>$C$11*$C$12</f>
        <v>100</v>
      </c>
      <c r="AE13" s="53">
        <f>$C$11/$C$12</f>
        <v>1</v>
      </c>
      <c r="AF13" s="54">
        <f>AB13*AE13</f>
        <v>100</v>
      </c>
      <c r="AG13" s="53">
        <f>AC13*AD13</f>
        <v>30.844900881301989</v>
      </c>
      <c r="AH13" s="55">
        <f>SQRT(AD13/AE13)</f>
        <v>10</v>
      </c>
      <c r="AI13" s="56">
        <f>(AH13*AE13)</f>
        <v>10</v>
      </c>
      <c r="AJ13" s="57">
        <f>(($C$21/AH13)+($C$22/AI13))*100+5</f>
        <v>15</v>
      </c>
    </row>
    <row r="14" spans="1:36" x14ac:dyDescent="0.2">
      <c r="H14" s="171"/>
      <c r="I14" s="171"/>
      <c r="J14" s="171"/>
      <c r="K14" s="171"/>
      <c r="L14" s="171"/>
      <c r="M14" s="171"/>
      <c r="N14" s="171"/>
      <c r="O14" s="171"/>
      <c r="P14" s="171"/>
      <c r="S14" s="26"/>
      <c r="AA14" s="29">
        <v>4</v>
      </c>
      <c r="AB14" s="40">
        <v>250</v>
      </c>
      <c r="AC14" s="40">
        <f>3.844*POWER(AD14, -0.5478)</f>
        <v>0.3084490088130199</v>
      </c>
      <c r="AD14" s="41">
        <f>$C$11*$C$12</f>
        <v>100</v>
      </c>
      <c r="AE14" s="53">
        <f>$C$11/$C$12</f>
        <v>1</v>
      </c>
      <c r="AF14" s="54">
        <f>AB14*AE14</f>
        <v>250</v>
      </c>
      <c r="AG14" s="53">
        <f>AC14*AD14</f>
        <v>30.844900881301989</v>
      </c>
      <c r="AH14" s="55">
        <f>SQRT(AD14/AE14)</f>
        <v>10</v>
      </c>
      <c r="AI14" s="56">
        <f>(AH14*AE14)</f>
        <v>10</v>
      </c>
      <c r="AJ14" s="57">
        <f>(($C$21/AH14)+($C$22/AI14))*100+5</f>
        <v>15</v>
      </c>
    </row>
    <row r="15" spans="1:36" ht="13.5" thickBot="1" x14ac:dyDescent="0.25">
      <c r="A15" s="119" t="s">
        <v>122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AA15" s="29">
        <v>5</v>
      </c>
      <c r="AB15" s="40">
        <v>1000</v>
      </c>
      <c r="AC15" s="40">
        <f>6.047*POWER(AD15, -0.5478)</f>
        <v>0.48522142463380108</v>
      </c>
      <c r="AD15" s="41">
        <f>$C$11*$C$12</f>
        <v>100</v>
      </c>
      <c r="AE15" s="53">
        <f>$C$11/$C$12</f>
        <v>1</v>
      </c>
      <c r="AF15" s="54">
        <f>AB15*AE15</f>
        <v>1000</v>
      </c>
      <c r="AG15" s="53">
        <f>AC15*AD15</f>
        <v>48.522142463380106</v>
      </c>
      <c r="AH15" s="55">
        <f>SQRT(AD15/AE15)</f>
        <v>10</v>
      </c>
      <c r="AI15" s="56">
        <f>(AH15*AE15)</f>
        <v>10</v>
      </c>
      <c r="AJ15" s="57">
        <f>(($C$21/AH15)+($C$22/AI15))*100+5</f>
        <v>15</v>
      </c>
    </row>
    <row r="16" spans="1:36" ht="13.5" thickBot="1" x14ac:dyDescent="0.25">
      <c r="AA16" s="59" t="s">
        <v>1</v>
      </c>
      <c r="AB16" s="2"/>
      <c r="AC16" s="2"/>
      <c r="AD16" s="2"/>
      <c r="AE16" s="2"/>
      <c r="AH16" s="2"/>
      <c r="AI16" s="2"/>
      <c r="AJ16" s="2"/>
    </row>
    <row r="17" spans="1:36" x14ac:dyDescent="0.2">
      <c r="B17" t="s">
        <v>132</v>
      </c>
      <c r="AA17" s="27"/>
      <c r="AB17" s="30"/>
      <c r="AC17" s="30"/>
      <c r="AD17" s="30"/>
      <c r="AE17" s="42"/>
      <c r="AF17" s="43"/>
      <c r="AG17" s="44"/>
      <c r="AH17" s="42"/>
      <c r="AI17" s="42"/>
      <c r="AJ17" s="45"/>
    </row>
    <row r="18" spans="1:36" ht="14.25" x14ac:dyDescent="0.25">
      <c r="AA18" s="60"/>
      <c r="AB18" s="31" t="s">
        <v>37</v>
      </c>
      <c r="AC18" s="32" t="s">
        <v>19</v>
      </c>
      <c r="AD18" s="33" t="s">
        <v>38</v>
      </c>
      <c r="AE18" s="46" t="s">
        <v>41</v>
      </c>
      <c r="AF18" s="47" t="s">
        <v>46</v>
      </c>
      <c r="AG18" s="48" t="s">
        <v>50</v>
      </c>
      <c r="AH18" s="49" t="s">
        <v>42</v>
      </c>
      <c r="AI18" s="49" t="s">
        <v>43</v>
      </c>
      <c r="AJ18" s="49" t="s">
        <v>20</v>
      </c>
    </row>
    <row r="19" spans="1:36" x14ac:dyDescent="0.2">
      <c r="B19" s="118" t="s">
        <v>8</v>
      </c>
      <c r="C19" s="131"/>
      <c r="D19" s="131"/>
      <c r="AA19" s="28" t="s">
        <v>21</v>
      </c>
      <c r="AB19" s="34" t="s">
        <v>22</v>
      </c>
      <c r="AC19" s="35" t="s">
        <v>23</v>
      </c>
      <c r="AD19" s="132" t="s">
        <v>40</v>
      </c>
      <c r="AE19" s="50" t="s">
        <v>24</v>
      </c>
      <c r="AF19" s="50" t="s">
        <v>47</v>
      </c>
      <c r="AG19" s="50" t="s">
        <v>23</v>
      </c>
      <c r="AH19" s="50" t="s">
        <v>25</v>
      </c>
      <c r="AI19" s="50" t="s">
        <v>25</v>
      </c>
      <c r="AJ19" s="50" t="s">
        <v>26</v>
      </c>
    </row>
    <row r="20" spans="1:36" ht="13.5" thickBot="1" x14ac:dyDescent="0.25">
      <c r="B20" s="15"/>
      <c r="C20" s="142" t="s">
        <v>131</v>
      </c>
      <c r="D20" s="143"/>
      <c r="AA20" s="1"/>
      <c r="AB20" s="36" t="s">
        <v>39</v>
      </c>
      <c r="AC20" s="37" t="s">
        <v>27</v>
      </c>
      <c r="AD20" s="133"/>
      <c r="AE20" s="51" t="s">
        <v>28</v>
      </c>
      <c r="AF20" s="51" t="s">
        <v>48</v>
      </c>
      <c r="AG20" s="51" t="s">
        <v>51</v>
      </c>
      <c r="AH20" s="51" t="s">
        <v>29</v>
      </c>
      <c r="AI20" s="51" t="s">
        <v>30</v>
      </c>
      <c r="AJ20" s="51" t="s">
        <v>31</v>
      </c>
    </row>
    <row r="21" spans="1:36" ht="15" thickBot="1" x14ac:dyDescent="0.25">
      <c r="B21" s="12" t="s">
        <v>117</v>
      </c>
      <c r="C21" s="124">
        <v>0.5</v>
      </c>
      <c r="D21" s="125"/>
      <c r="AA21" s="61"/>
      <c r="AB21" s="38" t="s">
        <v>32</v>
      </c>
      <c r="AC21" s="39" t="s">
        <v>33</v>
      </c>
      <c r="AD21" s="39" t="s">
        <v>34</v>
      </c>
      <c r="AE21" s="52"/>
      <c r="AF21" s="52" t="s">
        <v>49</v>
      </c>
      <c r="AG21" s="52" t="s">
        <v>52</v>
      </c>
      <c r="AH21" s="52" t="s">
        <v>35</v>
      </c>
      <c r="AI21" s="52" t="s">
        <v>35</v>
      </c>
      <c r="AJ21" s="52" t="s">
        <v>36</v>
      </c>
    </row>
    <row r="22" spans="1:36" ht="13.5" thickTop="1" x14ac:dyDescent="0.2">
      <c r="B22" s="12" t="s">
        <v>118</v>
      </c>
      <c r="C22" s="126">
        <v>0.5</v>
      </c>
      <c r="D22" s="127"/>
      <c r="AA22" s="29">
        <v>1</v>
      </c>
      <c r="AB22" s="40">
        <v>25</v>
      </c>
      <c r="AC22" s="40">
        <f>6.407*POWER(AD22, -0.5478)</f>
        <v>0.15428392446254927</v>
      </c>
      <c r="AD22" s="41">
        <f>$F$11*$F$12</f>
        <v>900</v>
      </c>
      <c r="AE22" s="53">
        <f>$F$11/$F$12</f>
        <v>4</v>
      </c>
      <c r="AF22" s="54">
        <f>AB22*AE22</f>
        <v>100</v>
      </c>
      <c r="AG22" s="53">
        <f>AC22*AD22</f>
        <v>138.85553201629435</v>
      </c>
      <c r="AH22" s="55">
        <f>SQRT(AD22/AE22)</f>
        <v>15</v>
      </c>
      <c r="AI22" s="56">
        <f>(AH22*AE22)</f>
        <v>60</v>
      </c>
      <c r="AJ22" s="57">
        <f>(($C$21/AH22)+($C$22/AI22))*100+5</f>
        <v>9.1666666666666661</v>
      </c>
    </row>
    <row r="23" spans="1:36" x14ac:dyDescent="0.2">
      <c r="AA23" s="29">
        <v>2</v>
      </c>
      <c r="AB23" s="40">
        <v>50</v>
      </c>
      <c r="AC23" s="40">
        <f>5.126*POWER(AD23, -0.5478)</f>
        <v>0.12343677178008861</v>
      </c>
      <c r="AD23" s="41">
        <f>$F$11*$F$12</f>
        <v>900</v>
      </c>
      <c r="AE23" s="53">
        <f>$F$11/$F$12</f>
        <v>4</v>
      </c>
      <c r="AF23" s="54">
        <f>AB23*AE23</f>
        <v>200</v>
      </c>
      <c r="AG23" s="53">
        <f>AC23*AD23</f>
        <v>111.09309460207974</v>
      </c>
      <c r="AH23" s="55">
        <f>SQRT(AD23/AE23)</f>
        <v>15</v>
      </c>
      <c r="AI23" s="56">
        <f>(AH23*AE23)</f>
        <v>60</v>
      </c>
      <c r="AJ23" s="57">
        <f>(($C$21/AH23)+($C$22/AI23))*100+5</f>
        <v>9.1666666666666661</v>
      </c>
    </row>
    <row r="24" spans="1:36" ht="14.25" customHeight="1" x14ac:dyDescent="0.2">
      <c r="AA24" s="29">
        <v>3</v>
      </c>
      <c r="AB24" s="40">
        <v>100</v>
      </c>
      <c r="AC24" s="40">
        <f>3.844*POWER(AD24, -0.5478)</f>
        <v>9.2565538572504977E-2</v>
      </c>
      <c r="AD24" s="41">
        <f>$F$11*$F$12</f>
        <v>900</v>
      </c>
      <c r="AE24" s="53">
        <f>$F$11/$F$12</f>
        <v>4</v>
      </c>
      <c r="AF24" s="54">
        <f>AB24*AE24</f>
        <v>400</v>
      </c>
      <c r="AG24" s="53">
        <f>AC24*AD24</f>
        <v>83.308984715254482</v>
      </c>
      <c r="AH24" s="55">
        <f>SQRT(AD24/AE24)</f>
        <v>15</v>
      </c>
      <c r="AI24" s="56">
        <f>(AH24*AE24)</f>
        <v>60</v>
      </c>
      <c r="AJ24" s="57">
        <f>(($C$21/AH24)+($C$22/AI24))*100+5</f>
        <v>9.1666666666666661</v>
      </c>
    </row>
    <row r="25" spans="1:36" x14ac:dyDescent="0.2">
      <c r="R25" s="25"/>
      <c r="S25" s="25"/>
      <c r="AA25" s="29">
        <v>4</v>
      </c>
      <c r="AB25" s="40">
        <v>250</v>
      </c>
      <c r="AC25" s="40">
        <f>3.844*POWER(AD25, -0.5478)</f>
        <v>9.2565538572504977E-2</v>
      </c>
      <c r="AD25" s="41">
        <f>$F$11*$F$12</f>
        <v>900</v>
      </c>
      <c r="AE25" s="53">
        <f>$F$11/$F$12</f>
        <v>4</v>
      </c>
      <c r="AF25" s="54">
        <f>AB25*AE25</f>
        <v>1000</v>
      </c>
      <c r="AG25" s="53">
        <f>AC25*AD25</f>
        <v>83.308984715254482</v>
      </c>
      <c r="AH25" s="55">
        <f>SQRT(AD25/AE25)</f>
        <v>15</v>
      </c>
      <c r="AI25" s="56">
        <f>(AH25*AE25)</f>
        <v>60</v>
      </c>
      <c r="AJ25" s="57">
        <f>(($C$21/AH25)+($C$22/AI25))*100+5</f>
        <v>9.1666666666666661</v>
      </c>
    </row>
    <row r="26" spans="1:36" ht="13.5" thickBot="1" x14ac:dyDescent="0.25">
      <c r="A26" s="119" t="s">
        <v>129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AA26" s="29">
        <v>5</v>
      </c>
      <c r="AB26" s="40">
        <v>1000</v>
      </c>
      <c r="AC26" s="40">
        <f>6.047*POWER(AD26, -0.5478)</f>
        <v>0.14561493541829804</v>
      </c>
      <c r="AD26" s="41">
        <f>$F$11*$F$12</f>
        <v>900</v>
      </c>
      <c r="AE26" s="53">
        <f>$F$11/$F$12</f>
        <v>4</v>
      </c>
      <c r="AF26" s="54">
        <f>AB26*AE26</f>
        <v>4000</v>
      </c>
      <c r="AG26" s="53">
        <f>AC26*AD26</f>
        <v>131.05344187646824</v>
      </c>
      <c r="AH26" s="55">
        <f>SQRT(AD26/AE26)</f>
        <v>15</v>
      </c>
      <c r="AI26" s="56">
        <f>(AH26*AE26)</f>
        <v>60</v>
      </c>
      <c r="AJ26" s="57">
        <f>(($C$21/AH26)+($C$22/AI26))*100+5</f>
        <v>9.1666666666666661</v>
      </c>
    </row>
    <row r="27" spans="1:36" ht="13.5" thickBot="1" x14ac:dyDescent="0.25">
      <c r="AA27" s="58" t="s">
        <v>2</v>
      </c>
      <c r="AB27" s="2"/>
      <c r="AC27" s="2"/>
      <c r="AD27" s="2"/>
      <c r="AE27" s="2"/>
      <c r="AH27" s="2"/>
      <c r="AI27" s="2"/>
      <c r="AJ27" s="2"/>
    </row>
    <row r="28" spans="1:36" x14ac:dyDescent="0.2">
      <c r="B28" t="s">
        <v>127</v>
      </c>
      <c r="AA28" s="27"/>
      <c r="AB28" s="30"/>
      <c r="AC28" s="30"/>
      <c r="AD28" s="30"/>
      <c r="AE28" s="42"/>
      <c r="AF28" s="43"/>
      <c r="AG28" s="44"/>
      <c r="AH28" s="42"/>
      <c r="AI28" s="42"/>
      <c r="AJ28" s="45"/>
    </row>
    <row r="29" spans="1:36" ht="14.25" x14ac:dyDescent="0.25">
      <c r="B29" s="78" t="s">
        <v>69</v>
      </c>
      <c r="C29" s="78"/>
      <c r="AA29" s="60"/>
      <c r="AB29" s="31" t="s">
        <v>18</v>
      </c>
      <c r="AC29" s="32" t="s">
        <v>19</v>
      </c>
      <c r="AD29" s="33" t="s">
        <v>38</v>
      </c>
      <c r="AE29" s="46" t="s">
        <v>41</v>
      </c>
      <c r="AF29" s="47" t="s">
        <v>46</v>
      </c>
      <c r="AG29" s="48" t="s">
        <v>50</v>
      </c>
      <c r="AH29" s="49" t="s">
        <v>42</v>
      </c>
      <c r="AI29" s="49" t="s">
        <v>43</v>
      </c>
      <c r="AJ29" s="49" t="s">
        <v>20</v>
      </c>
    </row>
    <row r="30" spans="1:36" x14ac:dyDescent="0.2">
      <c r="AA30" s="28" t="s">
        <v>21</v>
      </c>
      <c r="AB30" s="34" t="s">
        <v>22</v>
      </c>
      <c r="AC30" s="35" t="s">
        <v>23</v>
      </c>
      <c r="AD30" s="132" t="s">
        <v>40</v>
      </c>
      <c r="AE30" s="50" t="s">
        <v>24</v>
      </c>
      <c r="AF30" s="50" t="s">
        <v>47</v>
      </c>
      <c r="AG30" s="50" t="s">
        <v>23</v>
      </c>
      <c r="AH30" s="50" t="s">
        <v>25</v>
      </c>
      <c r="AI30" s="50" t="s">
        <v>25</v>
      </c>
      <c r="AJ30" s="50" t="s">
        <v>26</v>
      </c>
    </row>
    <row r="31" spans="1:36" x14ac:dyDescent="0.2">
      <c r="B31" s="118" t="s">
        <v>16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AA31" s="1"/>
      <c r="AB31" s="36" t="s">
        <v>39</v>
      </c>
      <c r="AC31" s="37" t="s">
        <v>27</v>
      </c>
      <c r="AD31" s="133"/>
      <c r="AE31" s="51" t="s">
        <v>28</v>
      </c>
      <c r="AF31" s="51" t="s">
        <v>48</v>
      </c>
      <c r="AG31" s="51" t="s">
        <v>51</v>
      </c>
      <c r="AH31" s="51" t="s">
        <v>29</v>
      </c>
      <c r="AI31" s="51" t="s">
        <v>30</v>
      </c>
      <c r="AJ31" s="51" t="s">
        <v>31</v>
      </c>
    </row>
    <row r="32" spans="1:36" ht="15.75" thickBot="1" x14ac:dyDescent="0.3">
      <c r="B32" s="134" t="s">
        <v>7</v>
      </c>
      <c r="C32" s="155" t="s">
        <v>9</v>
      </c>
      <c r="D32" s="157"/>
      <c r="E32" s="156"/>
      <c r="F32" s="138" t="s">
        <v>10</v>
      </c>
      <c r="G32" s="158"/>
      <c r="H32" s="139"/>
      <c r="I32" s="136" t="s">
        <v>11</v>
      </c>
      <c r="J32" s="159"/>
      <c r="K32" s="137"/>
      <c r="L32" s="138" t="s">
        <v>12</v>
      </c>
      <c r="M32" s="158"/>
      <c r="N32" s="139"/>
      <c r="O32" s="136" t="s">
        <v>13</v>
      </c>
      <c r="P32" s="159"/>
      <c r="Q32" s="137"/>
      <c r="R32" s="138" t="s">
        <v>14</v>
      </c>
      <c r="S32" s="158"/>
      <c r="T32" s="139"/>
      <c r="AA32" s="61"/>
      <c r="AB32" s="38" t="s">
        <v>32</v>
      </c>
      <c r="AC32" s="39" t="s">
        <v>33</v>
      </c>
      <c r="AD32" s="39" t="s">
        <v>34</v>
      </c>
      <c r="AE32" s="52"/>
      <c r="AF32" s="52" t="s">
        <v>49</v>
      </c>
      <c r="AG32" s="52" t="s">
        <v>52</v>
      </c>
      <c r="AH32" s="52" t="s">
        <v>35</v>
      </c>
      <c r="AI32" s="52" t="s">
        <v>35</v>
      </c>
      <c r="AJ32" s="52" t="s">
        <v>36</v>
      </c>
    </row>
    <row r="33" spans="1:36" ht="15" thickTop="1" x14ac:dyDescent="0.25">
      <c r="B33" s="135"/>
      <c r="C33" s="10" t="s">
        <v>56</v>
      </c>
      <c r="D33" s="10" t="s">
        <v>54</v>
      </c>
      <c r="E33" s="106" t="s">
        <v>125</v>
      </c>
      <c r="F33" s="11" t="s">
        <v>57</v>
      </c>
      <c r="G33" s="11" t="s">
        <v>58</v>
      </c>
      <c r="H33" s="108" t="s">
        <v>133</v>
      </c>
      <c r="I33" s="10" t="s">
        <v>59</v>
      </c>
      <c r="J33" s="10" t="s">
        <v>60</v>
      </c>
      <c r="K33" s="106" t="s">
        <v>134</v>
      </c>
      <c r="L33" s="11" t="s">
        <v>61</v>
      </c>
      <c r="M33" s="11" t="s">
        <v>62</v>
      </c>
      <c r="N33" s="108" t="s">
        <v>135</v>
      </c>
      <c r="O33" s="10" t="s">
        <v>63</v>
      </c>
      <c r="P33" s="10" t="s">
        <v>64</v>
      </c>
      <c r="Q33" s="106" t="s">
        <v>136</v>
      </c>
      <c r="R33" s="11" t="s">
        <v>65</v>
      </c>
      <c r="S33" s="11" t="s">
        <v>66</v>
      </c>
      <c r="T33" s="108" t="s">
        <v>137</v>
      </c>
      <c r="AA33" s="29">
        <v>1</v>
      </c>
      <c r="AB33" s="40">
        <v>25</v>
      </c>
      <c r="AC33" s="40">
        <f>6.407*POWER(AD33, -0.5478)</f>
        <v>0.12355430599437778</v>
      </c>
      <c r="AD33" s="41">
        <f>$I$11*$I$12</f>
        <v>1350</v>
      </c>
      <c r="AE33" s="53">
        <f>$I$11/$I$12</f>
        <v>6</v>
      </c>
      <c r="AF33" s="54">
        <f>AB33*AE33</f>
        <v>150</v>
      </c>
      <c r="AG33" s="53">
        <f>AC33*AD33</f>
        <v>166.79831309241001</v>
      </c>
      <c r="AH33" s="55">
        <f>SQRT(AD33/AE33)</f>
        <v>15</v>
      </c>
      <c r="AI33" s="56">
        <f>(AH33*AE33)</f>
        <v>90</v>
      </c>
      <c r="AJ33" s="57">
        <f>(($C$21/AH33)+($C$22/AI33))*100+5</f>
        <v>8.8888888888888893</v>
      </c>
    </row>
    <row r="34" spans="1:36" ht="13.5" thickBot="1" x14ac:dyDescent="0.25">
      <c r="B34" s="13" t="s">
        <v>113</v>
      </c>
      <c r="C34" s="75" t="s">
        <v>53</v>
      </c>
      <c r="D34" s="71" t="s">
        <v>55</v>
      </c>
      <c r="E34" s="110" t="s">
        <v>126</v>
      </c>
      <c r="F34" s="76" t="s">
        <v>53</v>
      </c>
      <c r="G34" s="72" t="s">
        <v>55</v>
      </c>
      <c r="H34" s="109" t="s">
        <v>126</v>
      </c>
      <c r="I34" s="75" t="s">
        <v>53</v>
      </c>
      <c r="J34" s="71" t="s">
        <v>55</v>
      </c>
      <c r="K34" s="110" t="s">
        <v>126</v>
      </c>
      <c r="L34" s="76" t="s">
        <v>53</v>
      </c>
      <c r="M34" s="72" t="s">
        <v>55</v>
      </c>
      <c r="N34" s="109" t="s">
        <v>126</v>
      </c>
      <c r="O34" s="75" t="s">
        <v>53</v>
      </c>
      <c r="P34" s="71" t="s">
        <v>55</v>
      </c>
      <c r="Q34" s="110" t="s">
        <v>126</v>
      </c>
      <c r="R34" s="76" t="s">
        <v>53</v>
      </c>
      <c r="S34" s="72" t="s">
        <v>55</v>
      </c>
      <c r="T34" s="109" t="s">
        <v>126</v>
      </c>
      <c r="AA34" s="29">
        <v>2</v>
      </c>
      <c r="AB34" s="40">
        <v>50</v>
      </c>
      <c r="AC34" s="40">
        <f>5.126*POWER(AD34, -0.5478)</f>
        <v>9.8851158502759565E-2</v>
      </c>
      <c r="AD34" s="41">
        <f>$I$11*$I$12</f>
        <v>1350</v>
      </c>
      <c r="AE34" s="53">
        <f>$I$11/$I$12</f>
        <v>6</v>
      </c>
      <c r="AF34" s="54">
        <f>AB34*AE34</f>
        <v>300</v>
      </c>
      <c r="AG34" s="53">
        <f>AC34*AD34</f>
        <v>133.44906397872541</v>
      </c>
      <c r="AH34" s="55">
        <f>SQRT(AD34/AE34)</f>
        <v>15</v>
      </c>
      <c r="AI34" s="56">
        <f>(AH34*AE34)</f>
        <v>90</v>
      </c>
      <c r="AJ34" s="57">
        <f>(($C$21/AH34)+($C$22/AI34))*100+5</f>
        <v>8.8888888888888893</v>
      </c>
    </row>
    <row r="35" spans="1:36" x14ac:dyDescent="0.2">
      <c r="B35" s="14">
        <v>25</v>
      </c>
      <c r="C35" s="107">
        <f>MinW25.1</f>
        <v>25</v>
      </c>
      <c r="D35" s="73">
        <f>AG11</f>
        <v>51.410842858091009</v>
      </c>
      <c r="E35" s="62">
        <f>AJ11</f>
        <v>15</v>
      </c>
      <c r="F35" s="64">
        <f>MinW25.2</f>
        <v>100</v>
      </c>
      <c r="G35" s="77">
        <f>AG22</f>
        <v>138.85553201629435</v>
      </c>
      <c r="H35" s="93">
        <f>AJ22</f>
        <v>9.1666666666666661</v>
      </c>
      <c r="I35" s="107">
        <f>MinW25.3</f>
        <v>150</v>
      </c>
      <c r="J35" s="73">
        <f>AG33</f>
        <v>166.79831309241001</v>
      </c>
      <c r="K35" s="62">
        <f>AJ33</f>
        <v>8.8888888888888893</v>
      </c>
      <c r="L35" s="64">
        <f>MinW25.4</f>
        <v>150</v>
      </c>
      <c r="M35" s="77">
        <f>AG44</f>
        <v>216.36462059905682</v>
      </c>
      <c r="N35" s="93">
        <f>AJ44</f>
        <v>7.9166666666666661</v>
      </c>
      <c r="O35" s="107">
        <f>MinW25.5</f>
        <v>300</v>
      </c>
      <c r="P35" s="73">
        <f>AG55</f>
        <v>296.01383641985882</v>
      </c>
      <c r="Q35" s="62">
        <f>AJ55</f>
        <v>7.7083333333333339</v>
      </c>
      <c r="R35" s="64">
        <f>MinW25.6</f>
        <v>300</v>
      </c>
      <c r="S35" s="77">
        <f>AG66</f>
        <v>554.06860121644206</v>
      </c>
      <c r="T35" s="93">
        <f>AJ66</f>
        <v>6.354166666666667</v>
      </c>
      <c r="AA35" s="29">
        <v>3</v>
      </c>
      <c r="AB35" s="40">
        <v>100</v>
      </c>
      <c r="AC35" s="40">
        <f>3.844*POWER(AD35, -0.5478)</f>
        <v>7.4128726742998002E-2</v>
      </c>
      <c r="AD35" s="41">
        <f>$I$11*$I$12</f>
        <v>1350</v>
      </c>
      <c r="AE35" s="53">
        <f>$I$11/$I$12</f>
        <v>6</v>
      </c>
      <c r="AF35" s="54">
        <f>AB35*AE35</f>
        <v>600</v>
      </c>
      <c r="AG35" s="53">
        <f>AC35*AD35</f>
        <v>100.07378110304731</v>
      </c>
      <c r="AH35" s="55">
        <f>SQRT(AD35/AE35)</f>
        <v>15</v>
      </c>
      <c r="AI35" s="56">
        <f>(AH35*AE35)</f>
        <v>90</v>
      </c>
      <c r="AJ35" s="57">
        <f>(($C$21/AH35)+($C$22/AI35))*100+5</f>
        <v>8.8888888888888893</v>
      </c>
    </row>
    <row r="36" spans="1:36" x14ac:dyDescent="0.2">
      <c r="B36" s="14">
        <v>50</v>
      </c>
      <c r="C36" s="107">
        <f>MinW50.1</f>
        <v>50</v>
      </c>
      <c r="D36" s="73">
        <f>AG12</f>
        <v>41.131883953578047</v>
      </c>
      <c r="E36" s="62">
        <f>AJ12</f>
        <v>15</v>
      </c>
      <c r="F36" s="64">
        <f>MinW50.2</f>
        <v>200</v>
      </c>
      <c r="G36" s="77">
        <f>AG23</f>
        <v>111.09309460207974</v>
      </c>
      <c r="H36" s="93">
        <f>AJ23</f>
        <v>9.1666666666666661</v>
      </c>
      <c r="I36" s="107">
        <f>MinW50.3</f>
        <v>300</v>
      </c>
      <c r="J36" s="73">
        <f>AG34</f>
        <v>133.44906397872541</v>
      </c>
      <c r="K36" s="62">
        <f>AJ34</f>
        <v>8.8888888888888893</v>
      </c>
      <c r="L36" s="64">
        <f>MinW50.4</f>
        <v>300</v>
      </c>
      <c r="M36" s="77">
        <f>AG45</f>
        <v>173.10520449364213</v>
      </c>
      <c r="N36" s="93">
        <f>AJ45</f>
        <v>7.9166666666666661</v>
      </c>
      <c r="O36" s="107">
        <f>MinW50.5</f>
        <v>600</v>
      </c>
      <c r="P36" s="73">
        <f>AG56</f>
        <v>236.82954978745065</v>
      </c>
      <c r="Q36" s="62">
        <f>AJ56</f>
        <v>7.7083333333333339</v>
      </c>
      <c r="R36" s="64">
        <f>MinW50.6</f>
        <v>600</v>
      </c>
      <c r="S36" s="77">
        <f>AG67</f>
        <v>443.28947242632773</v>
      </c>
      <c r="T36" s="93">
        <f>AJ67</f>
        <v>6.354166666666667</v>
      </c>
      <c r="AA36" s="29">
        <v>4</v>
      </c>
      <c r="AB36" s="40">
        <v>250</v>
      </c>
      <c r="AC36" s="40">
        <f>3.844*POWER(AD36, -0.5478)</f>
        <v>7.4128726742998002E-2</v>
      </c>
      <c r="AD36" s="41">
        <f>$I$11*$I$12</f>
        <v>1350</v>
      </c>
      <c r="AE36" s="53">
        <f>$I$11/$I$12</f>
        <v>6</v>
      </c>
      <c r="AF36" s="54">
        <f>AB36*AE36</f>
        <v>1500</v>
      </c>
      <c r="AG36" s="53">
        <f>AC36*AD36</f>
        <v>100.07378110304731</v>
      </c>
      <c r="AH36" s="55">
        <f>SQRT(AD36/AE36)</f>
        <v>15</v>
      </c>
      <c r="AI36" s="56">
        <f>(AH36*AE36)</f>
        <v>90</v>
      </c>
      <c r="AJ36" s="57">
        <f>(($C$21/AH36)+($C$22/AI36))*100+5</f>
        <v>8.8888888888888893</v>
      </c>
    </row>
    <row r="37" spans="1:36" ht="13.5" thickBot="1" x14ac:dyDescent="0.25">
      <c r="B37" s="14">
        <v>100</v>
      </c>
      <c r="C37" s="107">
        <f>MinW100.1</f>
        <v>100</v>
      </c>
      <c r="D37" s="74">
        <f>AG13</f>
        <v>30.844900881301989</v>
      </c>
      <c r="E37" s="62">
        <f>AJ13</f>
        <v>15</v>
      </c>
      <c r="F37" s="64">
        <f>MinW100.2</f>
        <v>400</v>
      </c>
      <c r="G37" s="77">
        <f>AG24</f>
        <v>83.308984715254482</v>
      </c>
      <c r="H37" s="93">
        <f>AJ24</f>
        <v>9.1666666666666661</v>
      </c>
      <c r="I37" s="107">
        <f>MinW100.3</f>
        <v>600</v>
      </c>
      <c r="J37" s="73">
        <f>AG35</f>
        <v>100.07378110304731</v>
      </c>
      <c r="K37" s="62">
        <f>AJ35</f>
        <v>8.8888888888888893</v>
      </c>
      <c r="L37" s="64">
        <f>MinW100.4</f>
        <v>600</v>
      </c>
      <c r="M37" s="77">
        <f>AG46</f>
        <v>129.81201835223573</v>
      </c>
      <c r="N37" s="93">
        <f>AJ46</f>
        <v>7.9166666666666661</v>
      </c>
      <c r="O37" s="107">
        <f>MinW100.5</f>
        <v>1200</v>
      </c>
      <c r="P37" s="73">
        <f>AG57</f>
        <v>177.59906152613348</v>
      </c>
      <c r="Q37" s="62">
        <f>AJ57</f>
        <v>7.7083333333333339</v>
      </c>
      <c r="R37" s="64">
        <f>MinW100.6</f>
        <v>1200</v>
      </c>
      <c r="S37" s="77">
        <f>AG68</f>
        <v>332.42386500327814</v>
      </c>
      <c r="T37" s="93">
        <f>AJ68</f>
        <v>6.354166666666667</v>
      </c>
      <c r="AA37" s="29">
        <v>5</v>
      </c>
      <c r="AB37" s="40">
        <v>1000</v>
      </c>
      <c r="AC37" s="40">
        <f>6.047*POWER(AD37, -0.5478)</f>
        <v>0.11661196946277547</v>
      </c>
      <c r="AD37" s="41">
        <f>$I$11*$I$12</f>
        <v>1350</v>
      </c>
      <c r="AE37" s="53">
        <f>$I$11/$I$12</f>
        <v>6</v>
      </c>
      <c r="AF37" s="54">
        <f>AB37*AE37</f>
        <v>6000</v>
      </c>
      <c r="AG37" s="53">
        <f>AC37*AD37</f>
        <v>157.42615877474688</v>
      </c>
      <c r="AH37" s="55">
        <f>SQRT(AD37/AE37)</f>
        <v>15</v>
      </c>
      <c r="AI37" s="56">
        <f>(AH37*AE37)</f>
        <v>90</v>
      </c>
      <c r="AJ37" s="57">
        <f>(($C$21/AH37)+($C$22/AI37))*100+5</f>
        <v>8.8888888888888893</v>
      </c>
    </row>
    <row r="38" spans="1:36" ht="13.5" thickBot="1" x14ac:dyDescent="0.25">
      <c r="B38" s="14">
        <v>250</v>
      </c>
      <c r="C38" s="107">
        <f>MinW250.1</f>
        <v>250</v>
      </c>
      <c r="D38" s="74">
        <f>AG14</f>
        <v>30.844900881301989</v>
      </c>
      <c r="E38" s="62">
        <f>AJ14</f>
        <v>15</v>
      </c>
      <c r="F38" s="64">
        <f>MinW250.2</f>
        <v>1000</v>
      </c>
      <c r="G38" s="77">
        <f>AG25</f>
        <v>83.308984715254482</v>
      </c>
      <c r="H38" s="93">
        <f>AJ25</f>
        <v>9.1666666666666661</v>
      </c>
      <c r="I38" s="107">
        <f>MinW250.3</f>
        <v>1500</v>
      </c>
      <c r="J38" s="73">
        <f>AG36</f>
        <v>100.07378110304731</v>
      </c>
      <c r="K38" s="62">
        <f>AJ36</f>
        <v>8.8888888888888893</v>
      </c>
      <c r="L38" s="64">
        <f>MinW250.4</f>
        <v>1500</v>
      </c>
      <c r="M38" s="77">
        <f>AG47</f>
        <v>129.81201835223573</v>
      </c>
      <c r="N38" s="93">
        <f>AJ47</f>
        <v>7.9166666666666661</v>
      </c>
      <c r="O38" s="107">
        <f>MinW250.5</f>
        <v>3000</v>
      </c>
      <c r="P38" s="73">
        <f>AG58</f>
        <v>177.59906152613348</v>
      </c>
      <c r="Q38" s="62">
        <f>AJ58</f>
        <v>7.7083333333333339</v>
      </c>
      <c r="R38" s="64">
        <f>MinW250.6</f>
        <v>3000</v>
      </c>
      <c r="S38" s="77">
        <f>AG69</f>
        <v>332.42386500327814</v>
      </c>
      <c r="T38" s="93">
        <f>AJ69</f>
        <v>6.354166666666667</v>
      </c>
      <c r="AA38" s="59" t="s">
        <v>3</v>
      </c>
      <c r="AB38" s="2"/>
      <c r="AC38" s="2"/>
      <c r="AD38" s="2"/>
      <c r="AE38" s="2"/>
      <c r="AH38" s="2"/>
      <c r="AI38" s="2"/>
      <c r="AJ38" s="2"/>
    </row>
    <row r="39" spans="1:36" x14ac:dyDescent="0.2">
      <c r="B39" s="14">
        <v>1000</v>
      </c>
      <c r="C39" s="107">
        <f>MinW1000.1</f>
        <v>1000</v>
      </c>
      <c r="D39" s="74">
        <f>AG15</f>
        <v>48.522142463380106</v>
      </c>
      <c r="E39" s="62">
        <f>AJ15</f>
        <v>15</v>
      </c>
      <c r="F39" s="64">
        <f>MinW1000.2</f>
        <v>4000</v>
      </c>
      <c r="G39" s="77">
        <f>AG26</f>
        <v>131.05344187646824</v>
      </c>
      <c r="H39" s="93">
        <f>AJ26</f>
        <v>9.1666666666666661</v>
      </c>
      <c r="I39" s="107">
        <f>MinW1000.3</f>
        <v>6000</v>
      </c>
      <c r="J39" s="73">
        <f>AG37</f>
        <v>157.42615877474688</v>
      </c>
      <c r="K39" s="62">
        <f>AJ37</f>
        <v>8.8888888888888893</v>
      </c>
      <c r="L39" s="64">
        <f>MinW1000.4</f>
        <v>6000</v>
      </c>
      <c r="M39" s="77">
        <f>AG48</f>
        <v>204.2074076420316</v>
      </c>
      <c r="N39" s="93">
        <f>AJ48</f>
        <v>7.9166666666666661</v>
      </c>
      <c r="O39" s="107">
        <f>MinW1000.5</f>
        <v>12000</v>
      </c>
      <c r="P39" s="73">
        <f>AG59</f>
        <v>279.38125001262466</v>
      </c>
      <c r="Q39" s="62">
        <f>AJ59</f>
        <v>7.7083333333333339</v>
      </c>
      <c r="R39" s="64">
        <f>MinW1000.6</f>
        <v>12000</v>
      </c>
      <c r="S39" s="77">
        <f>AG70</f>
        <v>522.93629335973537</v>
      </c>
      <c r="T39" s="93">
        <f>AJ70</f>
        <v>6.354166666666667</v>
      </c>
      <c r="AA39" s="27"/>
      <c r="AB39" s="30"/>
      <c r="AC39" s="30"/>
      <c r="AD39" s="30"/>
      <c r="AE39" s="42"/>
      <c r="AF39" s="43"/>
      <c r="AG39" s="44"/>
      <c r="AH39" s="42"/>
      <c r="AI39" s="42"/>
      <c r="AJ39" s="45"/>
    </row>
    <row r="40" spans="1:36" ht="14.25" x14ac:dyDescent="0.25">
      <c r="E40" s="24"/>
      <c r="AA40" s="60"/>
      <c r="AB40" s="31" t="s">
        <v>18</v>
      </c>
      <c r="AC40" s="32" t="s">
        <v>19</v>
      </c>
      <c r="AD40" s="33" t="s">
        <v>38</v>
      </c>
      <c r="AE40" s="46" t="s">
        <v>41</v>
      </c>
      <c r="AF40" s="47" t="s">
        <v>46</v>
      </c>
      <c r="AG40" s="48" t="s">
        <v>50</v>
      </c>
      <c r="AH40" s="49" t="s">
        <v>42</v>
      </c>
      <c r="AI40" s="49" t="s">
        <v>43</v>
      </c>
      <c r="AJ40" s="49" t="s">
        <v>20</v>
      </c>
    </row>
    <row r="41" spans="1:36" x14ac:dyDescent="0.2">
      <c r="A41" s="119" t="s">
        <v>120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AA41" s="28" t="s">
        <v>21</v>
      </c>
      <c r="AB41" s="34" t="s">
        <v>22</v>
      </c>
      <c r="AC41" s="35" t="s">
        <v>23</v>
      </c>
      <c r="AD41" s="132" t="s">
        <v>40</v>
      </c>
      <c r="AE41" s="50" t="s">
        <v>24</v>
      </c>
      <c r="AF41" s="50" t="s">
        <v>47</v>
      </c>
      <c r="AG41" s="50" t="s">
        <v>23</v>
      </c>
      <c r="AH41" s="50" t="s">
        <v>25</v>
      </c>
      <c r="AI41" s="50" t="s">
        <v>25</v>
      </c>
      <c r="AJ41" s="50" t="s">
        <v>26</v>
      </c>
    </row>
    <row r="42" spans="1:36" x14ac:dyDescent="0.2">
      <c r="AA42" s="1"/>
      <c r="AB42" s="36" t="s">
        <v>39</v>
      </c>
      <c r="AC42" s="37" t="s">
        <v>27</v>
      </c>
      <c r="AD42" s="133"/>
      <c r="AE42" s="51" t="s">
        <v>28</v>
      </c>
      <c r="AF42" s="51" t="s">
        <v>48</v>
      </c>
      <c r="AG42" s="51" t="s">
        <v>51</v>
      </c>
      <c r="AH42" s="51" t="s">
        <v>29</v>
      </c>
      <c r="AI42" s="51" t="s">
        <v>30</v>
      </c>
      <c r="AJ42" s="51" t="s">
        <v>31</v>
      </c>
    </row>
    <row r="43" spans="1:36" ht="15" thickBot="1" x14ac:dyDescent="0.25">
      <c r="AA43" s="61"/>
      <c r="AB43" s="38" t="s">
        <v>32</v>
      </c>
      <c r="AC43" s="39" t="s">
        <v>33</v>
      </c>
      <c r="AD43" s="39" t="s">
        <v>34</v>
      </c>
      <c r="AE43" s="52"/>
      <c r="AF43" s="52" t="s">
        <v>49</v>
      </c>
      <c r="AG43" s="52" t="s">
        <v>52</v>
      </c>
      <c r="AH43" s="52" t="s">
        <v>35</v>
      </c>
      <c r="AI43" s="52" t="s">
        <v>35</v>
      </c>
      <c r="AJ43" s="52" t="s">
        <v>36</v>
      </c>
    </row>
    <row r="44" spans="1:36" ht="13.5" thickTop="1" x14ac:dyDescent="0.2">
      <c r="B44" t="s">
        <v>116</v>
      </c>
      <c r="AA44" s="29">
        <v>1</v>
      </c>
      <c r="AB44" s="40">
        <v>25</v>
      </c>
      <c r="AC44" s="40">
        <f>6.407*POWER(AD44, -0.5478)</f>
        <v>9.0151925249607009E-2</v>
      </c>
      <c r="AD44" s="41">
        <f>$L$11*$L$12</f>
        <v>2400</v>
      </c>
      <c r="AE44" s="53">
        <f>$L$11/$L$12</f>
        <v>6</v>
      </c>
      <c r="AF44" s="54">
        <f>AB44*AE44</f>
        <v>150</v>
      </c>
      <c r="AG44" s="53">
        <f>AC44*AD44</f>
        <v>216.36462059905682</v>
      </c>
      <c r="AH44" s="55">
        <f>SQRT(AD44/AE44)</f>
        <v>20</v>
      </c>
      <c r="AI44" s="56">
        <f>(AH44*AE44)</f>
        <v>120</v>
      </c>
      <c r="AJ44" s="57">
        <f>(($C$21/AH44)+($C$22/AI44))*100+5</f>
        <v>7.9166666666666661</v>
      </c>
    </row>
    <row r="45" spans="1:36" x14ac:dyDescent="0.2">
      <c r="B45" t="s">
        <v>68</v>
      </c>
      <c r="AA45" s="29">
        <v>2</v>
      </c>
      <c r="AB45" s="40">
        <v>50</v>
      </c>
      <c r="AC45" s="40">
        <f>5.126*POWER(AD45, -0.5478)</f>
        <v>7.2127168539017558E-2</v>
      </c>
      <c r="AD45" s="41">
        <f>$L$11*$L$12</f>
        <v>2400</v>
      </c>
      <c r="AE45" s="53">
        <f>$L$11/$L$12</f>
        <v>6</v>
      </c>
      <c r="AF45" s="54">
        <f>AB45*AE45</f>
        <v>300</v>
      </c>
      <c r="AG45" s="53">
        <f>AC45*AD45</f>
        <v>173.10520449364213</v>
      </c>
      <c r="AH45" s="55">
        <f>SQRT(AD45/AE45)</f>
        <v>20</v>
      </c>
      <c r="AI45" s="56">
        <f>(AH45*AE45)</f>
        <v>120</v>
      </c>
      <c r="AJ45" s="57">
        <f>(($C$21/AH45)+($C$22/AI45))*100+5</f>
        <v>7.9166666666666661</v>
      </c>
    </row>
    <row r="46" spans="1:36" x14ac:dyDescent="0.2">
      <c r="AA46" s="29">
        <v>3</v>
      </c>
      <c r="AB46" s="40">
        <v>100</v>
      </c>
      <c r="AC46" s="40">
        <f>3.844*POWER(AD46, -0.5478)</f>
        <v>5.4088340980098223E-2</v>
      </c>
      <c r="AD46" s="41">
        <f>$L$11*$L$12</f>
        <v>2400</v>
      </c>
      <c r="AE46" s="53">
        <f>$L$11/$L$12</f>
        <v>6</v>
      </c>
      <c r="AF46" s="54">
        <f>AB46*AE46</f>
        <v>600</v>
      </c>
      <c r="AG46" s="53">
        <f>AC46*AD46</f>
        <v>129.81201835223573</v>
      </c>
      <c r="AH46" s="55">
        <f>SQRT(AD46/AE46)</f>
        <v>20</v>
      </c>
      <c r="AI46" s="56">
        <f>(AH46*AE46)</f>
        <v>120</v>
      </c>
      <c r="AJ46" s="57">
        <f>(($C$21/AH46)+($C$22/AI46))*100+5</f>
        <v>7.9166666666666661</v>
      </c>
    </row>
    <row r="47" spans="1:36" x14ac:dyDescent="0.2">
      <c r="B47" s="118" t="s">
        <v>121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AA47" s="29">
        <v>4</v>
      </c>
      <c r="AB47" s="40">
        <v>250</v>
      </c>
      <c r="AC47" s="40">
        <f>3.844*POWER(AD47, -0.5478)</f>
        <v>5.4088340980098223E-2</v>
      </c>
      <c r="AD47" s="41">
        <f>$L$11*$L$12</f>
        <v>2400</v>
      </c>
      <c r="AE47" s="53">
        <f>$L$11/$L$12</f>
        <v>6</v>
      </c>
      <c r="AF47" s="54">
        <f>AB47*AE47</f>
        <v>1500</v>
      </c>
      <c r="AG47" s="53">
        <f>AC47*AD47</f>
        <v>129.81201835223573</v>
      </c>
      <c r="AH47" s="55">
        <f>SQRT(AD47/AE47)</f>
        <v>20</v>
      </c>
      <c r="AI47" s="56">
        <f>(AH47*AE47)</f>
        <v>120</v>
      </c>
      <c r="AJ47" s="57">
        <f>(($C$21/AH47)+($C$22/AI47))*100+5</f>
        <v>7.9166666666666661</v>
      </c>
    </row>
    <row r="48" spans="1:36" ht="13.5" thickBot="1" x14ac:dyDescent="0.25">
      <c r="B48" s="166" t="s">
        <v>7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AA48" s="29">
        <v>5</v>
      </c>
      <c r="AB48" s="40">
        <v>1000</v>
      </c>
      <c r="AC48" s="40">
        <f>6.047*POWER(AD48, -0.5478)</f>
        <v>8.5086419850846501E-2</v>
      </c>
      <c r="AD48" s="41">
        <f>$L$11*$L$12</f>
        <v>2400</v>
      </c>
      <c r="AE48" s="53">
        <f>$L$11/$L$12</f>
        <v>6</v>
      </c>
      <c r="AF48" s="54">
        <f>AB48*AE48</f>
        <v>6000</v>
      </c>
      <c r="AG48" s="53">
        <f>AC48*AD48</f>
        <v>204.2074076420316</v>
      </c>
      <c r="AH48" s="55">
        <f>SQRT(AD48/AE48)</f>
        <v>20</v>
      </c>
      <c r="AI48" s="56">
        <f>(AH48*AE48)</f>
        <v>120</v>
      </c>
      <c r="AJ48" s="57">
        <f>(($C$21/AH48)+($C$22/AI48))*100+5</f>
        <v>7.9166666666666661</v>
      </c>
    </row>
    <row r="49" spans="2:36" ht="13.5" thickBot="1" x14ac:dyDescent="0.25">
      <c r="B49" s="167"/>
      <c r="C49" s="20"/>
      <c r="D49" s="21"/>
      <c r="E49" s="16"/>
      <c r="F49" s="21"/>
      <c r="G49" s="21"/>
      <c r="H49" s="16"/>
      <c r="I49" s="21"/>
      <c r="J49" s="21"/>
      <c r="K49" s="16"/>
      <c r="L49" s="21"/>
      <c r="M49" s="21"/>
      <c r="N49" s="16"/>
      <c r="O49" s="21"/>
      <c r="P49" s="21"/>
      <c r="Q49" s="16"/>
      <c r="R49" s="21"/>
      <c r="S49" s="22"/>
      <c r="AA49" s="58" t="s">
        <v>4</v>
      </c>
      <c r="AB49" s="2"/>
      <c r="AC49" s="2"/>
      <c r="AD49" s="2"/>
      <c r="AE49" s="2"/>
      <c r="AH49" s="2"/>
      <c r="AI49" s="2"/>
      <c r="AJ49" s="2"/>
    </row>
    <row r="50" spans="2:36" ht="15" thickBot="1" x14ac:dyDescent="0.3">
      <c r="B50" s="13" t="s">
        <v>113</v>
      </c>
      <c r="C50" s="142" t="s">
        <v>9</v>
      </c>
      <c r="D50" s="143"/>
      <c r="E50" s="23"/>
      <c r="F50" s="144" t="s">
        <v>10</v>
      </c>
      <c r="G50" s="145"/>
      <c r="H50" s="23"/>
      <c r="I50" s="142" t="s">
        <v>11</v>
      </c>
      <c r="J50" s="143"/>
      <c r="K50" s="23"/>
      <c r="L50" s="144" t="s">
        <v>12</v>
      </c>
      <c r="M50" s="145"/>
      <c r="N50" s="23"/>
      <c r="O50" s="142" t="s">
        <v>13</v>
      </c>
      <c r="P50" s="143"/>
      <c r="Q50" s="23"/>
      <c r="R50" s="144" t="s">
        <v>14</v>
      </c>
      <c r="S50" s="145"/>
      <c r="AA50" s="27"/>
      <c r="AB50" s="30"/>
      <c r="AC50" s="30"/>
      <c r="AD50" s="30"/>
      <c r="AE50" s="42"/>
      <c r="AF50" s="43"/>
      <c r="AG50" s="44"/>
      <c r="AH50" s="42"/>
      <c r="AI50" s="42"/>
      <c r="AJ50" s="45"/>
    </row>
    <row r="51" spans="2:36" ht="14.25" x14ac:dyDescent="0.25">
      <c r="B51" s="14">
        <v>25</v>
      </c>
      <c r="C51" s="164" t="str">
        <f>IF(Squ25.1&lt;1,"Partial Square",IF(Squ25.1&lt;=10,"Bar",IF(Squ25.1&gt;10,"Serpentine")))</f>
        <v>Bar</v>
      </c>
      <c r="D51" s="165"/>
      <c r="E51" s="67"/>
      <c r="F51" s="164" t="str">
        <f>IF(Squ25.2&lt;1,"Partial Square",IF(Squ25.2&lt;=10,"Bar",IF(Squ25.2&gt;10,"Serpentine")))</f>
        <v>Bar</v>
      </c>
      <c r="G51" s="165"/>
      <c r="H51" s="68"/>
      <c r="I51" s="168" t="str">
        <f>IF(Squ25.3&lt;1,"Partial Square",IF(Squ25.3&lt;=10,"Bar",IF(Squ25.3&gt;10,"Serpentine")))</f>
        <v>Bar</v>
      </c>
      <c r="J51" s="169"/>
      <c r="K51" s="68"/>
      <c r="L51" s="164" t="str">
        <f>IF(Squ25.4&lt;1,"Partial Square",IF(Squ25.4&lt;=10,"Bar",IF(Squ25.4&gt;10,"Serpentine")))</f>
        <v>Bar</v>
      </c>
      <c r="M51" s="165"/>
      <c r="N51" s="68"/>
      <c r="O51" s="168" t="str">
        <f>IF(Squ25.5&lt;1,"Partial Square",IF(Squ25.5&lt;=10,"Bar",IF(Squ25.5&gt;10,"Serpentine")))</f>
        <v>Serpentine</v>
      </c>
      <c r="P51" s="169"/>
      <c r="Q51" s="68"/>
      <c r="R51" s="164" t="str">
        <f>IF(Squ25.6&lt;1,"Partial Square",IF(Squ25.6&lt;=10,"Bar",IF(Squ25.6&gt;10,"Serpentine")))</f>
        <v>Serpentine</v>
      </c>
      <c r="S51" s="165"/>
      <c r="AA51" s="60"/>
      <c r="AB51" s="31" t="s">
        <v>18</v>
      </c>
      <c r="AC51" s="32" t="s">
        <v>19</v>
      </c>
      <c r="AD51" s="33" t="s">
        <v>38</v>
      </c>
      <c r="AE51" s="46" t="s">
        <v>41</v>
      </c>
      <c r="AF51" s="47" t="s">
        <v>46</v>
      </c>
      <c r="AG51" s="48" t="s">
        <v>50</v>
      </c>
      <c r="AH51" s="49" t="s">
        <v>42</v>
      </c>
      <c r="AI51" s="49" t="s">
        <v>43</v>
      </c>
      <c r="AJ51" s="49" t="s">
        <v>20</v>
      </c>
    </row>
    <row r="52" spans="2:36" x14ac:dyDescent="0.2">
      <c r="B52" s="14">
        <v>50</v>
      </c>
      <c r="C52" s="162" t="str">
        <f>IF(Squ50.1&lt;1,"Partial Square",IF(Squ50.1&lt;=10,"Bar",IF(Squ50.1&gt;10,"Serpentine")))</f>
        <v>Bar</v>
      </c>
      <c r="D52" s="163"/>
      <c r="E52" s="67"/>
      <c r="F52" s="162" t="str">
        <f>IF(Squ50.2&lt;1,"Partial Square",IF(Squ50.2&lt;=10,"Bar",IF(Squ50.2&gt;10,"Serpentine")))</f>
        <v>Bar</v>
      </c>
      <c r="G52" s="163"/>
      <c r="H52" s="68"/>
      <c r="I52" s="160" t="str">
        <f>IF(Squ50.3&lt;1,"Partial Square",IF(Squ50.3&lt;=10,"Bar",IF(Squ50.3&gt;10,"Serpentine")))</f>
        <v>Bar</v>
      </c>
      <c r="J52" s="161"/>
      <c r="K52" s="68"/>
      <c r="L52" s="162" t="str">
        <f>IF(Squ50.4&lt;1,"Partial Square",IF(Squ50.4&lt;=10,"Bar",IF(Squ50.4&gt;10,"Serpentine")))</f>
        <v>Bar</v>
      </c>
      <c r="M52" s="163"/>
      <c r="N52" s="68"/>
      <c r="O52" s="160" t="str">
        <f>IF(Squ50.5&lt;1,"Partial Square",IF(Squ50.5&lt;=10,"Bar",IF(Squ50.5&gt;10,"Serpentine")))</f>
        <v>Serpentine</v>
      </c>
      <c r="P52" s="161"/>
      <c r="Q52" s="68"/>
      <c r="R52" s="162" t="str">
        <f>IF(Squ50.6&lt;1,"Partial Square",IF(Squ50.6&lt;=10,"Bar",IF(Squ50.6&gt;10,"Serpentine")))</f>
        <v>Serpentine</v>
      </c>
      <c r="S52" s="163"/>
      <c r="AA52" s="28" t="s">
        <v>21</v>
      </c>
      <c r="AB52" s="34" t="s">
        <v>22</v>
      </c>
      <c r="AC52" s="35" t="s">
        <v>23</v>
      </c>
      <c r="AD52" s="132" t="s">
        <v>40</v>
      </c>
      <c r="AE52" s="50" t="s">
        <v>24</v>
      </c>
      <c r="AF52" s="50" t="s">
        <v>47</v>
      </c>
      <c r="AG52" s="50" t="s">
        <v>23</v>
      </c>
      <c r="AH52" s="50" t="s">
        <v>25</v>
      </c>
      <c r="AI52" s="50" t="s">
        <v>25</v>
      </c>
      <c r="AJ52" s="50" t="s">
        <v>26</v>
      </c>
    </row>
    <row r="53" spans="2:36" x14ac:dyDescent="0.2">
      <c r="B53" s="14">
        <v>100</v>
      </c>
      <c r="C53" s="162" t="str">
        <f>IF(Squ100.1&lt;1,"Partial Square",IF(Squ100.1&lt;=10,"Bar",IF(Squ100.1&gt;10,"Serpentine")))</f>
        <v>Bar</v>
      </c>
      <c r="D53" s="163"/>
      <c r="E53" s="69"/>
      <c r="F53" s="162" t="str">
        <f>IF(Squ100.2&lt;1,"Partial Square",IF(Squ100.2&lt;=10,"Bar",IF(Squ100.2&gt;10,"Serpentine")))</f>
        <v>Bar</v>
      </c>
      <c r="G53" s="163"/>
      <c r="H53" s="70"/>
      <c r="I53" s="160" t="str">
        <f>IF(Squ100.3&lt;1,"Partial Square",IF(Squ100.3&lt;=10,"Bar",IF(Squ100.3&gt;10,"Serpentine")))</f>
        <v>Bar</v>
      </c>
      <c r="J53" s="161"/>
      <c r="K53" s="70"/>
      <c r="L53" s="162" t="str">
        <f>IF(Squ100.4&lt;1,"Partial Square",IF(Squ100.4&lt;=10,"Bar",IF(Squ100.4&gt;10,"Serpentine")))</f>
        <v>Bar</v>
      </c>
      <c r="M53" s="163"/>
      <c r="N53" s="70"/>
      <c r="O53" s="160" t="str">
        <f>IF(Squ100.5&lt;1,"Partial Square",IF(Squ100.5&lt;=10,"Bar",IF(Squ100.5&gt;10,"Serpentine")))</f>
        <v>Serpentine</v>
      </c>
      <c r="P53" s="161"/>
      <c r="Q53" s="70"/>
      <c r="R53" s="162" t="str">
        <f>IF(Squ100.6&lt;1,"Partial Square",IF(Squ100.6&lt;=10,"Bar",IF(Squ100.6&gt;10,"Serpentine")))</f>
        <v>Serpentine</v>
      </c>
      <c r="S53" s="163"/>
      <c r="AA53" s="1"/>
      <c r="AB53" s="36" t="s">
        <v>39</v>
      </c>
      <c r="AC53" s="37" t="s">
        <v>27</v>
      </c>
      <c r="AD53" s="133"/>
      <c r="AE53" s="51" t="s">
        <v>28</v>
      </c>
      <c r="AF53" s="51" t="s">
        <v>48</v>
      </c>
      <c r="AG53" s="51" t="s">
        <v>51</v>
      </c>
      <c r="AH53" s="51" t="s">
        <v>29</v>
      </c>
      <c r="AI53" s="51" t="s">
        <v>30</v>
      </c>
      <c r="AJ53" s="51" t="s">
        <v>31</v>
      </c>
    </row>
    <row r="54" spans="2:36" ht="12.75" customHeight="1" thickBot="1" x14ac:dyDescent="0.25">
      <c r="B54" s="14">
        <v>250</v>
      </c>
      <c r="C54" s="162" t="str">
        <f>IF(Squ250.1&lt;1,"Partial Square",IF(Squ250.1&lt;=10,"Bar",IF(Squ250.1&gt;10,"Serpentine")))</f>
        <v>Bar</v>
      </c>
      <c r="D54" s="163"/>
      <c r="E54" s="69"/>
      <c r="F54" s="162" t="str">
        <f>IF(Squ250.2&lt;1,"Partial Square",IF(Squ250.2&lt;=10,"Bar",IF(Squ250.2&gt;10,"Serpentine")))</f>
        <v>Bar</v>
      </c>
      <c r="G54" s="163"/>
      <c r="H54" s="70"/>
      <c r="I54" s="160" t="str">
        <f>IF(Squ250.3&lt;1,"Partial Square",IF(Squ250.3&lt;=10,"Bar",IF(Squ250.3&gt;10,"Serpentine")))</f>
        <v>Bar</v>
      </c>
      <c r="J54" s="161"/>
      <c r="K54" s="70"/>
      <c r="L54" s="162" t="str">
        <f>IF(Squ250.4&lt;1,"Partial Square",IF(Squ250.4&lt;=10,"Bar",IF(Squ250.4&gt;10,"Serpentine")))</f>
        <v>Bar</v>
      </c>
      <c r="M54" s="163"/>
      <c r="N54" s="70"/>
      <c r="O54" s="160" t="str">
        <f>IF(Squ250.5&lt;1,"Partial Square",IF(Squ250.5&lt;=10,"Bar",IF(Squ250.5&gt;10,"Serpentine")))</f>
        <v>Serpentine</v>
      </c>
      <c r="P54" s="161"/>
      <c r="Q54" s="70"/>
      <c r="R54" s="162" t="str">
        <f>IF(Squ250.6&lt;1,"Partial Square",IF(Squ250.6&lt;=10,"Bar",IF(Squ250.6&gt;10,"Serpentine")))</f>
        <v>Serpentine</v>
      </c>
      <c r="S54" s="163"/>
      <c r="AA54" s="61"/>
      <c r="AB54" s="38" t="s">
        <v>32</v>
      </c>
      <c r="AC54" s="39" t="s">
        <v>33</v>
      </c>
      <c r="AD54" s="39" t="s">
        <v>34</v>
      </c>
      <c r="AE54" s="52"/>
      <c r="AF54" s="52" t="s">
        <v>49</v>
      </c>
      <c r="AG54" s="52" t="s">
        <v>52</v>
      </c>
      <c r="AH54" s="52" t="s">
        <v>35</v>
      </c>
      <c r="AI54" s="52" t="s">
        <v>35</v>
      </c>
      <c r="AJ54" s="52" t="s">
        <v>36</v>
      </c>
    </row>
    <row r="55" spans="2:36" ht="13.5" thickTop="1" x14ac:dyDescent="0.2">
      <c r="B55" s="14">
        <v>1000</v>
      </c>
      <c r="C55" s="162" t="str">
        <f>IF(Squ1000.1&lt;1,"Partial Square",IF(Squ1000.1&lt;=10,"Bar",IF(Squ1000.1&gt;10,"Serpentine")))</f>
        <v>Bar</v>
      </c>
      <c r="D55" s="163"/>
      <c r="E55" s="69"/>
      <c r="F55" s="162" t="str">
        <f>IF(Squ1000.2&lt;1,"Partial Square",IF(Squ1000.2&lt;=10,"Bar",IF(Squ1000.2&gt;10,"Serpentine")))</f>
        <v>Bar</v>
      </c>
      <c r="G55" s="163"/>
      <c r="H55" s="70"/>
      <c r="I55" s="160" t="str">
        <f>IF(Squ1000.3&lt;1,"Partial Square",IF(Squ1000.3&lt;=10,"Bar",IF(Squ1000.3&gt;10,"Serpentine")))</f>
        <v>Bar</v>
      </c>
      <c r="J55" s="161"/>
      <c r="K55" s="70"/>
      <c r="L55" s="162" t="str">
        <f>IF(Squ1000.4&lt;1,"Partial Square",IF(Squ1000.4&lt;=10,"Bar",IF(Squ1000.4&gt;10,"Serpentine")))</f>
        <v>Bar</v>
      </c>
      <c r="M55" s="163"/>
      <c r="N55" s="70"/>
      <c r="O55" s="160" t="str">
        <f>IF(Squ1000.5&lt;1,"Partial Square",IF(Squ1000.5&lt;=10,"Bar",IF(Squ1000.5&gt;10,"Serpentine")))</f>
        <v>Serpentine</v>
      </c>
      <c r="P55" s="161"/>
      <c r="Q55" s="70"/>
      <c r="R55" s="162" t="str">
        <f>IF(Squ1000.6&lt;1,"Partial Square",IF(Squ1000.6&lt;=10,"Bar",IF(Squ1000.6&gt;10,"Serpentine")))</f>
        <v>Serpentine</v>
      </c>
      <c r="S55" s="163"/>
      <c r="AA55" s="29">
        <v>1</v>
      </c>
      <c r="AB55" s="40">
        <v>25</v>
      </c>
      <c r="AC55" s="40">
        <f>6.407*POWER(AD55, -0.5478)</f>
        <v>6.166954925413725E-2</v>
      </c>
      <c r="AD55" s="41">
        <f>$O$11*$O$12</f>
        <v>4800</v>
      </c>
      <c r="AE55" s="53">
        <f>$O$11/$O$12</f>
        <v>12</v>
      </c>
      <c r="AF55" s="54">
        <f>AB55*AE55</f>
        <v>300</v>
      </c>
      <c r="AG55" s="53">
        <f>AC55*AD55</f>
        <v>296.01383641985882</v>
      </c>
      <c r="AH55" s="55">
        <f>SQRT(AD55/AE55)</f>
        <v>20</v>
      </c>
      <c r="AI55" s="56">
        <f>(AH55*AE55)</f>
        <v>240</v>
      </c>
      <c r="AJ55" s="57">
        <f>(($C$21/AH55)+($C$22/AI55))*100+5</f>
        <v>7.7083333333333339</v>
      </c>
    </row>
    <row r="56" spans="2:36" x14ac:dyDescent="0.2">
      <c r="AA56" s="29">
        <v>2</v>
      </c>
      <c r="AB56" s="40">
        <v>50</v>
      </c>
      <c r="AC56" s="40">
        <f>5.126*POWER(AD56, -0.5478)</f>
        <v>4.933948953905222E-2</v>
      </c>
      <c r="AD56" s="41">
        <f>$O$11*$O$12</f>
        <v>4800</v>
      </c>
      <c r="AE56" s="53">
        <f>$O$11/$O$12</f>
        <v>12</v>
      </c>
      <c r="AF56" s="54">
        <f>AB56*AE56</f>
        <v>600</v>
      </c>
      <c r="AG56" s="53">
        <f>AC56*AD56</f>
        <v>236.82954978745065</v>
      </c>
      <c r="AH56" s="55">
        <f>SQRT(AD56/AE56)</f>
        <v>20</v>
      </c>
      <c r="AI56" s="56">
        <f>(AH56*AE56)</f>
        <v>240</v>
      </c>
      <c r="AJ56" s="57">
        <f>(($C$21/AH56)+($C$22/AI56))*100+5</f>
        <v>7.7083333333333339</v>
      </c>
    </row>
    <row r="57" spans="2:36" x14ac:dyDescent="0.2">
      <c r="AA57" s="29">
        <v>3</v>
      </c>
      <c r="AB57" s="40">
        <v>100</v>
      </c>
      <c r="AC57" s="40">
        <f>3.844*POWER(AD57, -0.5478)</f>
        <v>3.699980448461114E-2</v>
      </c>
      <c r="AD57" s="41">
        <f>$O$11*$O$12</f>
        <v>4800</v>
      </c>
      <c r="AE57" s="53">
        <f>$O$11/$O$12</f>
        <v>12</v>
      </c>
      <c r="AF57" s="54">
        <f>AB57*AE57</f>
        <v>1200</v>
      </c>
      <c r="AG57" s="53">
        <f>AC57*AD57</f>
        <v>177.59906152613348</v>
      </c>
      <c r="AH57" s="55">
        <f>SQRT(AD57/AE57)</f>
        <v>20</v>
      </c>
      <c r="AI57" s="56">
        <f>(AH57*AE57)</f>
        <v>240</v>
      </c>
      <c r="AJ57" s="57">
        <f>(($C$21/AH57)+($C$22/AI57))*100+5</f>
        <v>7.7083333333333339</v>
      </c>
    </row>
    <row r="58" spans="2:36" x14ac:dyDescent="0.2">
      <c r="AA58" s="29">
        <v>4</v>
      </c>
      <c r="AB58" s="40">
        <v>250</v>
      </c>
      <c r="AC58" s="40">
        <f>3.844*POWER(AD58, -0.5478)</f>
        <v>3.699980448461114E-2</v>
      </c>
      <c r="AD58" s="41">
        <f>$O$11*$O$12</f>
        <v>4800</v>
      </c>
      <c r="AE58" s="53">
        <f>$O$11/$O$12</f>
        <v>12</v>
      </c>
      <c r="AF58" s="54">
        <f>AB58*AE58</f>
        <v>3000</v>
      </c>
      <c r="AG58" s="53">
        <f>AC58*AD58</f>
        <v>177.59906152613348</v>
      </c>
      <c r="AH58" s="55">
        <f>SQRT(AD58/AE58)</f>
        <v>20</v>
      </c>
      <c r="AI58" s="56">
        <f>(AH58*AE58)</f>
        <v>240</v>
      </c>
      <c r="AJ58" s="57">
        <f>(($C$21/AH58)+($C$22/AI58))*100+5</f>
        <v>7.7083333333333339</v>
      </c>
    </row>
    <row r="59" spans="2:36" ht="13.5" thickBot="1" x14ac:dyDescent="0.25">
      <c r="AA59" s="29">
        <v>5</v>
      </c>
      <c r="AB59" s="40">
        <v>1000</v>
      </c>
      <c r="AC59" s="40">
        <f>6.047*POWER(AD59, -0.5478)</f>
        <v>5.8204427085963469E-2</v>
      </c>
      <c r="AD59" s="41">
        <f>$O$11*$O$12</f>
        <v>4800</v>
      </c>
      <c r="AE59" s="53">
        <f>$O$11/$O$12</f>
        <v>12</v>
      </c>
      <c r="AF59" s="54">
        <f>AB59*AE59</f>
        <v>12000</v>
      </c>
      <c r="AG59" s="53">
        <f>AC59*AD59</f>
        <v>279.38125001262466</v>
      </c>
      <c r="AH59" s="55">
        <f>SQRT(AD59/AE59)</f>
        <v>20</v>
      </c>
      <c r="AI59" s="56">
        <f>(AH59*AE59)</f>
        <v>240</v>
      </c>
      <c r="AJ59" s="57">
        <f>(($C$21/AH59)+($C$22/AI59))*100+5</f>
        <v>7.7083333333333339</v>
      </c>
    </row>
    <row r="60" spans="2:36" ht="13.5" thickBot="1" x14ac:dyDescent="0.25">
      <c r="AA60" s="59" t="s">
        <v>5</v>
      </c>
      <c r="AB60" s="2"/>
      <c r="AC60" s="2"/>
      <c r="AD60" s="2"/>
      <c r="AE60" s="2"/>
      <c r="AH60" s="2"/>
      <c r="AI60" s="2"/>
      <c r="AJ60" s="2"/>
    </row>
    <row r="61" spans="2:36" x14ac:dyDescent="0.2">
      <c r="AA61" s="27"/>
      <c r="AB61" s="30"/>
      <c r="AC61" s="30"/>
      <c r="AD61" s="30"/>
      <c r="AE61" s="42"/>
      <c r="AF61" s="43"/>
      <c r="AG61" s="44"/>
      <c r="AH61" s="42"/>
      <c r="AI61" s="42"/>
      <c r="AJ61" s="45"/>
    </row>
    <row r="62" spans="2:36" ht="14.25" x14ac:dyDescent="0.25">
      <c r="AA62" s="60"/>
      <c r="AB62" s="31" t="s">
        <v>18</v>
      </c>
      <c r="AC62" s="32" t="s">
        <v>19</v>
      </c>
      <c r="AD62" s="33" t="s">
        <v>38</v>
      </c>
      <c r="AE62" s="46" t="s">
        <v>41</v>
      </c>
      <c r="AF62" s="47" t="s">
        <v>46</v>
      </c>
      <c r="AG62" s="48" t="s">
        <v>50</v>
      </c>
      <c r="AH62" s="49" t="s">
        <v>42</v>
      </c>
      <c r="AI62" s="49" t="s">
        <v>43</v>
      </c>
      <c r="AJ62" s="49" t="s">
        <v>20</v>
      </c>
    </row>
    <row r="63" spans="2:36" x14ac:dyDescent="0.2">
      <c r="AA63" s="28" t="s">
        <v>21</v>
      </c>
      <c r="AB63" s="34" t="s">
        <v>22</v>
      </c>
      <c r="AC63" s="35" t="s">
        <v>23</v>
      </c>
      <c r="AD63" s="132" t="s">
        <v>40</v>
      </c>
      <c r="AE63" s="50" t="s">
        <v>24</v>
      </c>
      <c r="AF63" s="50" t="s">
        <v>47</v>
      </c>
      <c r="AG63" s="50" t="s">
        <v>23</v>
      </c>
      <c r="AH63" s="50" t="s">
        <v>25</v>
      </c>
      <c r="AI63" s="50" t="s">
        <v>25</v>
      </c>
      <c r="AJ63" s="50" t="s">
        <v>26</v>
      </c>
    </row>
    <row r="64" spans="2:36" x14ac:dyDescent="0.2">
      <c r="AA64" s="1"/>
      <c r="AB64" s="36" t="s">
        <v>39</v>
      </c>
      <c r="AC64" s="37" t="s">
        <v>27</v>
      </c>
      <c r="AD64" s="133"/>
      <c r="AE64" s="51" t="s">
        <v>28</v>
      </c>
      <c r="AF64" s="51" t="s">
        <v>48</v>
      </c>
      <c r="AG64" s="51" t="s">
        <v>51</v>
      </c>
      <c r="AH64" s="51" t="s">
        <v>29</v>
      </c>
      <c r="AI64" s="51" t="s">
        <v>30</v>
      </c>
      <c r="AJ64" s="51" t="s">
        <v>31</v>
      </c>
    </row>
    <row r="65" spans="27:36" ht="15" thickBot="1" x14ac:dyDescent="0.25">
      <c r="AA65" s="61"/>
      <c r="AB65" s="38" t="s">
        <v>32</v>
      </c>
      <c r="AC65" s="39" t="s">
        <v>33</v>
      </c>
      <c r="AD65" s="39" t="s">
        <v>34</v>
      </c>
      <c r="AE65" s="52"/>
      <c r="AF65" s="52" t="s">
        <v>49</v>
      </c>
      <c r="AG65" s="52" t="s">
        <v>52</v>
      </c>
      <c r="AH65" s="52" t="s">
        <v>35</v>
      </c>
      <c r="AI65" s="52" t="s">
        <v>35</v>
      </c>
      <c r="AJ65" s="52" t="s">
        <v>36</v>
      </c>
    </row>
    <row r="66" spans="27:36" ht="13.5" thickTop="1" x14ac:dyDescent="0.2">
      <c r="AA66" s="29">
        <v>1</v>
      </c>
      <c r="AB66" s="40">
        <v>25</v>
      </c>
      <c r="AC66" s="40">
        <f>6.407*POWER(AD66, -0.5478)</f>
        <v>2.8857739646689688E-2</v>
      </c>
      <c r="AD66" s="41">
        <f>$R$11*$R$12</f>
        <v>19200</v>
      </c>
      <c r="AE66" s="53">
        <f>$R$11/$R$12</f>
        <v>12</v>
      </c>
      <c r="AF66" s="54">
        <f>AB66*AE66</f>
        <v>300</v>
      </c>
      <c r="AG66" s="53">
        <f>AC66*AD66</f>
        <v>554.06860121644206</v>
      </c>
      <c r="AH66" s="55">
        <f>SQRT(AD66/AE66)</f>
        <v>40</v>
      </c>
      <c r="AI66" s="56">
        <f>(AH66*AE66)</f>
        <v>480</v>
      </c>
      <c r="AJ66" s="57">
        <f>(($C$21/AH66)+($C$22/AI66))*100+5</f>
        <v>6.354166666666667</v>
      </c>
    </row>
    <row r="67" spans="27:36" x14ac:dyDescent="0.2">
      <c r="AA67" s="29">
        <v>2</v>
      </c>
      <c r="AB67" s="40">
        <v>50</v>
      </c>
      <c r="AC67" s="40">
        <f>5.126*POWER(AD67, -0.5478)</f>
        <v>2.3087993355537902E-2</v>
      </c>
      <c r="AD67" s="41">
        <f>$R$11*$R$12</f>
        <v>19200</v>
      </c>
      <c r="AE67" s="53">
        <f>$R$11/$R$12</f>
        <v>12</v>
      </c>
      <c r="AF67" s="54">
        <f>AB67*AE67</f>
        <v>600</v>
      </c>
      <c r="AG67" s="53">
        <f>AC67*AD67</f>
        <v>443.28947242632773</v>
      </c>
      <c r="AH67" s="55">
        <f>SQRT(AD67/AE67)</f>
        <v>40</v>
      </c>
      <c r="AI67" s="56">
        <f>(AH67*AE67)</f>
        <v>480</v>
      </c>
      <c r="AJ67" s="57">
        <f>(($C$21/AH67)+($C$22/AI67))*100+5</f>
        <v>6.354166666666667</v>
      </c>
    </row>
    <row r="68" spans="27:36" x14ac:dyDescent="0.2">
      <c r="AA68" s="29">
        <v>3</v>
      </c>
      <c r="AB68" s="40">
        <v>100</v>
      </c>
      <c r="AC68" s="40">
        <f>3.844*POWER(AD68, -0.5478)</f>
        <v>1.7313742968920735E-2</v>
      </c>
      <c r="AD68" s="41">
        <f>$R$11*$R$12</f>
        <v>19200</v>
      </c>
      <c r="AE68" s="53">
        <f>$R$11/$R$12</f>
        <v>12</v>
      </c>
      <c r="AF68" s="54">
        <f>AB68*AE68</f>
        <v>1200</v>
      </c>
      <c r="AG68" s="53">
        <f>AC68*AD68</f>
        <v>332.42386500327814</v>
      </c>
      <c r="AH68" s="55">
        <f>SQRT(AD68/AE68)</f>
        <v>40</v>
      </c>
      <c r="AI68" s="56">
        <f>(AH68*AE68)</f>
        <v>480</v>
      </c>
      <c r="AJ68" s="57">
        <f>(($C$21/AH68)+($C$22/AI68))*100+5</f>
        <v>6.354166666666667</v>
      </c>
    </row>
    <row r="69" spans="27:36" x14ac:dyDescent="0.2">
      <c r="AA69" s="29">
        <v>4</v>
      </c>
      <c r="AB69" s="40">
        <v>250</v>
      </c>
      <c r="AC69" s="40">
        <f>3.844*POWER(AD69, -0.5478)</f>
        <v>1.7313742968920735E-2</v>
      </c>
      <c r="AD69" s="41">
        <f>$R$11*$R$12</f>
        <v>19200</v>
      </c>
      <c r="AE69" s="53">
        <f>$R$11/$R$12</f>
        <v>12</v>
      </c>
      <c r="AF69" s="54">
        <f>AB69*AE69</f>
        <v>3000</v>
      </c>
      <c r="AG69" s="53">
        <f>AC69*AD69</f>
        <v>332.42386500327814</v>
      </c>
      <c r="AH69" s="55">
        <f>SQRT(AD69/AE69)</f>
        <v>40</v>
      </c>
      <c r="AI69" s="56">
        <f>(AH69*AE69)</f>
        <v>480</v>
      </c>
      <c r="AJ69" s="57">
        <f>(($C$21/AH69)+($C$22/AI69))*100+5</f>
        <v>6.354166666666667</v>
      </c>
    </row>
    <row r="70" spans="27:36" x14ac:dyDescent="0.2">
      <c r="AA70" s="29">
        <v>5</v>
      </c>
      <c r="AB70" s="40">
        <v>1000</v>
      </c>
      <c r="AC70" s="40">
        <f>6.047*POWER(AD70, -0.5478)</f>
        <v>2.7236265279152884E-2</v>
      </c>
      <c r="AD70" s="41">
        <f>$R$11*$R$12</f>
        <v>19200</v>
      </c>
      <c r="AE70" s="53">
        <f>$R$11/$R$12</f>
        <v>12</v>
      </c>
      <c r="AF70" s="54">
        <f>AB70*AE70</f>
        <v>12000</v>
      </c>
      <c r="AG70" s="53">
        <f>AC70*AD70</f>
        <v>522.93629335973537</v>
      </c>
      <c r="AH70" s="55">
        <f>SQRT(AD70/AE70)</f>
        <v>40</v>
      </c>
      <c r="AI70" s="56">
        <f>(AH70*AE70)</f>
        <v>480</v>
      </c>
      <c r="AJ70" s="57">
        <f>(($C$21/AH70)+($C$22/AI70))*100+5</f>
        <v>6.354166666666667</v>
      </c>
    </row>
  </sheetData>
  <sheetProtection password="CADF" sheet="1" objects="1" scenarios="1" selectLockedCells="1"/>
  <mergeCells count="83">
    <mergeCell ref="A1:T1"/>
    <mergeCell ref="H14:P14"/>
    <mergeCell ref="R10:S10"/>
    <mergeCell ref="R11:S11"/>
    <mergeCell ref="L12:M12"/>
    <mergeCell ref="A2:T2"/>
    <mergeCell ref="O11:P11"/>
    <mergeCell ref="O12:P12"/>
    <mergeCell ref="R12:S12"/>
    <mergeCell ref="I10:J10"/>
    <mergeCell ref="B7:C7"/>
    <mergeCell ref="L11:M11"/>
    <mergeCell ref="I12:J12"/>
    <mergeCell ref="B9:S9"/>
    <mergeCell ref="C10:D10"/>
    <mergeCell ref="C11:D11"/>
    <mergeCell ref="C12:D12"/>
    <mergeCell ref="L10:M10"/>
    <mergeCell ref="F10:G10"/>
    <mergeCell ref="I51:J51"/>
    <mergeCell ref="L51:M51"/>
    <mergeCell ref="O51:P51"/>
    <mergeCell ref="A26:T26"/>
    <mergeCell ref="B19:D19"/>
    <mergeCell ref="C22:D22"/>
    <mergeCell ref="C20:D20"/>
    <mergeCell ref="R50:S50"/>
    <mergeCell ref="O50:P50"/>
    <mergeCell ref="L50:M50"/>
    <mergeCell ref="A41:T41"/>
    <mergeCell ref="I11:J11"/>
    <mergeCell ref="F11:G11"/>
    <mergeCell ref="O10:P10"/>
    <mergeCell ref="R52:S52"/>
    <mergeCell ref="C51:D51"/>
    <mergeCell ref="F51:G51"/>
    <mergeCell ref="B32:B33"/>
    <mergeCell ref="B31:S31"/>
    <mergeCell ref="B48:B49"/>
    <mergeCell ref="C50:D50"/>
    <mergeCell ref="B47:S47"/>
    <mergeCell ref="F50:G50"/>
    <mergeCell ref="I50:J50"/>
    <mergeCell ref="C53:D53"/>
    <mergeCell ref="C54:D54"/>
    <mergeCell ref="F53:G53"/>
    <mergeCell ref="F54:G54"/>
    <mergeCell ref="R51:S51"/>
    <mergeCell ref="C52:D52"/>
    <mergeCell ref="F52:G52"/>
    <mergeCell ref="I52:J52"/>
    <mergeCell ref="L52:M52"/>
    <mergeCell ref="O52:P52"/>
    <mergeCell ref="O53:P53"/>
    <mergeCell ref="O54:P54"/>
    <mergeCell ref="R53:S53"/>
    <mergeCell ref="R54:S54"/>
    <mergeCell ref="I53:J53"/>
    <mergeCell ref="I54:J54"/>
    <mergeCell ref="L53:M53"/>
    <mergeCell ref="L54:M54"/>
    <mergeCell ref="AD52:AD53"/>
    <mergeCell ref="AD63:AD64"/>
    <mergeCell ref="AD8:AD9"/>
    <mergeCell ref="AD19:AD20"/>
    <mergeCell ref="AD30:AD31"/>
    <mergeCell ref="AD41:AD42"/>
    <mergeCell ref="O55:P55"/>
    <mergeCell ref="R55:S55"/>
    <mergeCell ref="C55:D55"/>
    <mergeCell ref="F55:G55"/>
    <mergeCell ref="I55:J55"/>
    <mergeCell ref="L55:M55"/>
    <mergeCell ref="A4:S4"/>
    <mergeCell ref="C32:E32"/>
    <mergeCell ref="F32:H32"/>
    <mergeCell ref="I32:K32"/>
    <mergeCell ref="L32:N32"/>
    <mergeCell ref="O32:Q32"/>
    <mergeCell ref="R32:T32"/>
    <mergeCell ref="F12:G12"/>
    <mergeCell ref="C21:D21"/>
    <mergeCell ref="A15:S15"/>
  </mergeCells>
  <phoneticPr fontId="0" type="noConversion"/>
  <pageMargins left="0.25" right="0.25" top="0.5" bottom="0.5" header="0.5" footer="0.5"/>
  <pageSetup paperSize="9" scale="72" fitToWidth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J70"/>
  <sheetViews>
    <sheetView showGridLines="0" tabSelected="1" topLeftCell="A4" workbookViewId="0">
      <selection activeCell="L11" sqref="L11:M11"/>
    </sheetView>
  </sheetViews>
  <sheetFormatPr defaultRowHeight="12.75" x14ac:dyDescent="0.2"/>
  <cols>
    <col min="1" max="1" width="2.140625" customWidth="1"/>
    <col min="2" max="2" width="23.85546875" customWidth="1"/>
    <col min="3" max="4" width="9.7109375" customWidth="1"/>
    <col min="5" max="5" width="4.7109375" customWidth="1"/>
    <col min="6" max="7" width="9.7109375" customWidth="1"/>
    <col min="8" max="8" width="4.7109375" customWidth="1"/>
    <col min="9" max="10" width="9.7109375" customWidth="1"/>
    <col min="11" max="11" width="4.7109375" customWidth="1"/>
    <col min="12" max="13" width="9.7109375" customWidth="1"/>
    <col min="14" max="14" width="4.7109375" customWidth="1"/>
    <col min="15" max="16" width="9.7109375" customWidth="1"/>
    <col min="17" max="17" width="4.7109375" customWidth="1"/>
    <col min="18" max="19" width="9.7109375" customWidth="1"/>
    <col min="20" max="20" width="4.7109375" customWidth="1"/>
    <col min="21" max="25" width="1.5703125" customWidth="1"/>
    <col min="26" max="26" width="56.85546875" customWidth="1"/>
    <col min="27" max="27" width="10.28515625" customWidth="1"/>
    <col min="28" max="28" width="10.85546875" bestFit="1" customWidth="1"/>
    <col min="30" max="30" width="12.28515625" bestFit="1" customWidth="1"/>
    <col min="32" max="32" width="9.5703125" bestFit="1" customWidth="1"/>
    <col min="33" max="33" width="10.140625" bestFit="1" customWidth="1"/>
  </cols>
  <sheetData>
    <row r="1" spans="1:36" ht="16.5" thickBot="1" x14ac:dyDescent="0.3">
      <c r="A1" s="150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AA1" s="174"/>
      <c r="AB1" s="174"/>
      <c r="AC1" s="142" t="s">
        <v>131</v>
      </c>
      <c r="AD1" s="143"/>
    </row>
    <row r="2" spans="1:36" ht="15.75" x14ac:dyDescent="0.25">
      <c r="A2" s="152" t="s">
        <v>141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16"/>
      <c r="AA2" s="173" t="s">
        <v>117</v>
      </c>
      <c r="AB2" s="173"/>
      <c r="AC2" s="175">
        <v>0.5</v>
      </c>
      <c r="AD2" s="176"/>
    </row>
    <row r="3" spans="1:36" ht="15" x14ac:dyDescent="0.2">
      <c r="A3" s="8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AA3" s="173" t="s">
        <v>118</v>
      </c>
      <c r="AB3" s="173"/>
      <c r="AC3" s="177">
        <v>0.5</v>
      </c>
      <c r="AD3" s="178"/>
    </row>
    <row r="4" spans="1:36" ht="13.5" thickBot="1" x14ac:dyDescent="0.25">
      <c r="A4" s="119" t="s">
        <v>124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36" ht="13.5" thickBot="1" x14ac:dyDescent="0.25">
      <c r="AA5" s="58" t="s">
        <v>0</v>
      </c>
      <c r="AB5" s="2"/>
      <c r="AC5" s="2"/>
      <c r="AD5" s="2"/>
      <c r="AE5" s="2"/>
      <c r="AH5" s="2"/>
      <c r="AI5" s="2"/>
      <c r="AJ5" s="2"/>
    </row>
    <row r="6" spans="1:36" x14ac:dyDescent="0.2">
      <c r="B6" t="s">
        <v>71</v>
      </c>
      <c r="AA6" s="27"/>
      <c r="AB6" s="30"/>
      <c r="AC6" s="30"/>
      <c r="AD6" s="79"/>
      <c r="AE6" s="42"/>
      <c r="AF6" s="43"/>
      <c r="AG6" s="44"/>
      <c r="AH6" s="42"/>
      <c r="AI6" s="42"/>
      <c r="AJ6" s="45"/>
    </row>
    <row r="7" spans="1:36" ht="14.25" x14ac:dyDescent="0.25">
      <c r="B7" s="170" t="s">
        <v>67</v>
      </c>
      <c r="C7" s="170"/>
      <c r="AA7" s="60"/>
      <c r="AB7" s="31" t="s">
        <v>37</v>
      </c>
      <c r="AC7" s="32" t="s">
        <v>19</v>
      </c>
      <c r="AD7" s="46" t="s">
        <v>38</v>
      </c>
      <c r="AE7" s="46" t="s">
        <v>41</v>
      </c>
      <c r="AF7" s="47" t="s">
        <v>73</v>
      </c>
      <c r="AG7" s="48" t="s">
        <v>50</v>
      </c>
      <c r="AH7" s="49" t="s">
        <v>42</v>
      </c>
      <c r="AI7" s="49" t="s">
        <v>43</v>
      </c>
      <c r="AJ7" s="49" t="s">
        <v>20</v>
      </c>
    </row>
    <row r="8" spans="1:36" x14ac:dyDescent="0.2">
      <c r="AA8" s="28" t="s">
        <v>21</v>
      </c>
      <c r="AB8" s="34" t="s">
        <v>22</v>
      </c>
      <c r="AC8" s="35" t="s">
        <v>23</v>
      </c>
      <c r="AD8" s="181" t="s">
        <v>40</v>
      </c>
      <c r="AE8" s="50" t="s">
        <v>24</v>
      </c>
      <c r="AF8" s="50" t="s">
        <v>30</v>
      </c>
      <c r="AG8" s="50" t="s">
        <v>23</v>
      </c>
      <c r="AH8" s="50" t="s">
        <v>25</v>
      </c>
      <c r="AI8" s="50" t="s">
        <v>25</v>
      </c>
      <c r="AJ8" s="50" t="s">
        <v>26</v>
      </c>
    </row>
    <row r="9" spans="1:36" x14ac:dyDescent="0.2">
      <c r="B9" s="118" t="s">
        <v>6</v>
      </c>
      <c r="C9" s="151"/>
      <c r="D9" s="151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AA9" s="1"/>
      <c r="AB9" s="36" t="s">
        <v>39</v>
      </c>
      <c r="AC9" s="37" t="s">
        <v>27</v>
      </c>
      <c r="AD9" s="182"/>
      <c r="AE9" s="51" t="s">
        <v>28</v>
      </c>
      <c r="AF9" s="51"/>
      <c r="AG9" s="51" t="s">
        <v>51</v>
      </c>
      <c r="AH9" s="51" t="s">
        <v>29</v>
      </c>
      <c r="AI9" s="51" t="s">
        <v>30</v>
      </c>
      <c r="AJ9" s="51" t="s">
        <v>31</v>
      </c>
    </row>
    <row r="10" spans="1:36" ht="15.75" thickBot="1" x14ac:dyDescent="0.3">
      <c r="B10" s="15"/>
      <c r="C10" s="142" t="s">
        <v>9</v>
      </c>
      <c r="D10" s="143"/>
      <c r="E10" s="6"/>
      <c r="F10" s="144" t="s">
        <v>10</v>
      </c>
      <c r="G10" s="145"/>
      <c r="H10" s="4"/>
      <c r="I10" s="142" t="s">
        <v>11</v>
      </c>
      <c r="J10" s="143"/>
      <c r="K10" s="4"/>
      <c r="L10" s="144" t="s">
        <v>12</v>
      </c>
      <c r="M10" s="145"/>
      <c r="N10" s="4"/>
      <c r="O10" s="142" t="s">
        <v>13</v>
      </c>
      <c r="P10" s="143"/>
      <c r="Q10" s="4"/>
      <c r="R10" s="144" t="s">
        <v>14</v>
      </c>
      <c r="S10" s="145"/>
      <c r="AA10" s="61"/>
      <c r="AB10" s="38" t="s">
        <v>32</v>
      </c>
      <c r="AC10" s="39" t="s">
        <v>33</v>
      </c>
      <c r="AD10" s="80" t="s">
        <v>76</v>
      </c>
      <c r="AE10" s="52"/>
      <c r="AF10" s="52" t="s">
        <v>75</v>
      </c>
      <c r="AG10" s="52" t="s">
        <v>52</v>
      </c>
      <c r="AH10" s="52" t="s">
        <v>35</v>
      </c>
      <c r="AI10" s="52" t="s">
        <v>35</v>
      </c>
      <c r="AJ10" s="52" t="s">
        <v>36</v>
      </c>
    </row>
    <row r="11" spans="1:36" x14ac:dyDescent="0.2">
      <c r="B11" s="12" t="s">
        <v>72</v>
      </c>
      <c r="C11" s="146">
        <v>68</v>
      </c>
      <c r="D11" s="147"/>
      <c r="E11" s="3"/>
      <c r="F11" s="148">
        <v>25</v>
      </c>
      <c r="G11" s="149"/>
      <c r="H11" s="5"/>
      <c r="I11" s="146">
        <v>25</v>
      </c>
      <c r="J11" s="147"/>
      <c r="K11" s="5"/>
      <c r="L11" s="148">
        <v>25</v>
      </c>
      <c r="M11" s="149"/>
      <c r="N11" s="5"/>
      <c r="O11" s="146">
        <v>5000</v>
      </c>
      <c r="P11" s="147"/>
      <c r="Q11" s="5"/>
      <c r="R11" s="148">
        <v>10000</v>
      </c>
      <c r="S11" s="149"/>
      <c r="AA11" s="29">
        <v>1</v>
      </c>
      <c r="AB11" s="40">
        <v>25</v>
      </c>
      <c r="AC11" s="40">
        <f>6.407*POWER(AD11, -0.5478)</f>
        <v>0.29716515144354655</v>
      </c>
      <c r="AD11" s="81">
        <f>AF11*$C$12</f>
        <v>272</v>
      </c>
      <c r="AE11" s="53">
        <f>AF11/$C$12</f>
        <v>2.72</v>
      </c>
      <c r="AF11" s="54">
        <f>$C$11/AB11*$C$12</f>
        <v>27.200000000000003</v>
      </c>
      <c r="AG11" s="53">
        <f>AC11*AD11</f>
        <v>80.828921192644657</v>
      </c>
      <c r="AH11" s="55">
        <f>SQRT(AD11/AE11)</f>
        <v>10</v>
      </c>
      <c r="AI11" s="56">
        <f>(AH11*AE11)</f>
        <v>27.200000000000003</v>
      </c>
      <c r="AJ11" s="57">
        <f>(($AC$2/AH11)+($AC$3/AI11))*100+5</f>
        <v>11.838235294117649</v>
      </c>
    </row>
    <row r="12" spans="1:36" x14ac:dyDescent="0.2">
      <c r="B12" s="12" t="s">
        <v>45</v>
      </c>
      <c r="C12" s="126">
        <v>10</v>
      </c>
      <c r="D12" s="127"/>
      <c r="E12" s="3"/>
      <c r="F12" s="128">
        <v>10</v>
      </c>
      <c r="G12" s="129"/>
      <c r="H12" s="5"/>
      <c r="I12" s="126">
        <v>15</v>
      </c>
      <c r="J12" s="127"/>
      <c r="K12" s="5"/>
      <c r="L12" s="128">
        <v>20</v>
      </c>
      <c r="M12" s="129"/>
      <c r="N12" s="5"/>
      <c r="O12" s="126">
        <v>15</v>
      </c>
      <c r="P12" s="127"/>
      <c r="Q12" s="5"/>
      <c r="R12" s="128">
        <v>15</v>
      </c>
      <c r="S12" s="129"/>
      <c r="AA12" s="29">
        <v>2</v>
      </c>
      <c r="AB12" s="40">
        <v>50</v>
      </c>
      <c r="AC12" s="40">
        <f>5.126*POWER(AD12, -0.5478)</f>
        <v>0.34755695835823591</v>
      </c>
      <c r="AD12" s="81">
        <f>AF12*$C$12</f>
        <v>136</v>
      </c>
      <c r="AE12" s="53">
        <f>AF12/$C$12</f>
        <v>1.36</v>
      </c>
      <c r="AF12" s="54">
        <f>$C$11/AB12*$C$12</f>
        <v>13.600000000000001</v>
      </c>
      <c r="AG12" s="53">
        <f>AC12*AD12</f>
        <v>47.267746336720087</v>
      </c>
      <c r="AH12" s="55">
        <f>SQRT(AD12/AE12)</f>
        <v>10</v>
      </c>
      <c r="AI12" s="56">
        <f>(AH12*AE12)</f>
        <v>13.600000000000001</v>
      </c>
      <c r="AJ12" s="57">
        <f>(($AC$2/AH12)+($AC$3/AI12))*100+5</f>
        <v>13.676470588235293</v>
      </c>
    </row>
    <row r="13" spans="1:36" x14ac:dyDescent="0.2">
      <c r="AA13" s="29">
        <v>3</v>
      </c>
      <c r="AB13" s="40">
        <v>100</v>
      </c>
      <c r="AC13" s="40">
        <f>3.844*POWER(AD13, -0.5478)</f>
        <v>0.38100879132133753</v>
      </c>
      <c r="AD13" s="81">
        <f>AF13*$C$12</f>
        <v>68</v>
      </c>
      <c r="AE13" s="53">
        <f>AF13/$C$12</f>
        <v>0.68</v>
      </c>
      <c r="AF13" s="54">
        <f>$C$11/AB13*$C$12</f>
        <v>6.8000000000000007</v>
      </c>
      <c r="AG13" s="53">
        <f>AC13*AD13</f>
        <v>25.908597809850953</v>
      </c>
      <c r="AH13" s="55">
        <f>SQRT(AD13/AE13)</f>
        <v>10</v>
      </c>
      <c r="AI13" s="56">
        <f>(AH13*AE13)</f>
        <v>6.8000000000000007</v>
      </c>
      <c r="AJ13" s="57">
        <f>(($AC$2/AH13)+($AC$3/AI13))*100+5</f>
        <v>17.352941176470587</v>
      </c>
    </row>
    <row r="14" spans="1:36" x14ac:dyDescent="0.2">
      <c r="H14" s="171"/>
      <c r="I14" s="171"/>
      <c r="J14" s="171"/>
      <c r="K14" s="171"/>
      <c r="L14" s="171"/>
      <c r="M14" s="171"/>
      <c r="N14" s="171"/>
      <c r="O14" s="171"/>
      <c r="P14" s="171"/>
      <c r="S14" s="26"/>
      <c r="AA14" s="29">
        <v>4</v>
      </c>
      <c r="AB14" s="40">
        <v>250</v>
      </c>
      <c r="AC14" s="40">
        <f>3.844*POWER(AD14, -0.5478)</f>
        <v>0.62939970259917177</v>
      </c>
      <c r="AD14" s="81">
        <f>AF14*$C$12</f>
        <v>27.200000000000003</v>
      </c>
      <c r="AE14" s="53">
        <f>AF14/$C$12</f>
        <v>0.27200000000000002</v>
      </c>
      <c r="AF14" s="54">
        <f>$C$11/AB14*$C$12</f>
        <v>2.72</v>
      </c>
      <c r="AG14" s="53">
        <f>AC14*AD14</f>
        <v>17.119671910697473</v>
      </c>
      <c r="AH14" s="55">
        <f>SQRT(AD14/AE14)</f>
        <v>10</v>
      </c>
      <c r="AI14" s="56">
        <f>(AH14*AE14)</f>
        <v>2.72</v>
      </c>
      <c r="AJ14" s="57">
        <f>(($AC$2/AH14)+($AC$3/AI14))*100+5</f>
        <v>28.382352941176471</v>
      </c>
    </row>
    <row r="15" spans="1:36" ht="13.5" thickBot="1" x14ac:dyDescent="0.25">
      <c r="R15" s="25"/>
      <c r="S15" s="25"/>
      <c r="AA15" s="29">
        <v>5</v>
      </c>
      <c r="AB15" s="40">
        <v>1000</v>
      </c>
      <c r="AC15" s="40">
        <f>6.047*POWER(AD15, -0.5478)</f>
        <v>2.1158826929347776</v>
      </c>
      <c r="AD15" s="81">
        <f>AF15*$C$12</f>
        <v>6.8000000000000007</v>
      </c>
      <c r="AE15" s="53">
        <f>AF15/$C$12</f>
        <v>6.8000000000000005E-2</v>
      </c>
      <c r="AF15" s="54">
        <f>$C$11/AB15*$C$12</f>
        <v>0.68</v>
      </c>
      <c r="AG15" s="53">
        <f>AC15*AD15</f>
        <v>14.388002311956489</v>
      </c>
      <c r="AH15" s="55">
        <f>SQRT(AD15/AE15)</f>
        <v>10</v>
      </c>
      <c r="AI15" s="56">
        <f>(AH15*AE15)</f>
        <v>0.68</v>
      </c>
      <c r="AJ15" s="57">
        <f>(($AC$2/AH15)+($AC$3/AI15))*100+5</f>
        <v>83.529411764705884</v>
      </c>
    </row>
    <row r="16" spans="1:36" ht="13.5" thickBot="1" x14ac:dyDescent="0.25">
      <c r="A16" s="119" t="s">
        <v>143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AA16" s="59" t="s">
        <v>1</v>
      </c>
      <c r="AB16" s="2"/>
      <c r="AC16" s="2"/>
      <c r="AD16" s="2"/>
      <c r="AE16" s="111"/>
      <c r="AH16" s="2"/>
      <c r="AI16" s="2"/>
      <c r="AJ16" s="2"/>
    </row>
    <row r="17" spans="1:36" x14ac:dyDescent="0.2">
      <c r="AA17" s="27"/>
      <c r="AB17" s="30"/>
      <c r="AC17" s="30"/>
      <c r="AD17" s="42"/>
      <c r="AE17" s="112"/>
      <c r="AF17" s="43"/>
      <c r="AG17" s="44"/>
      <c r="AH17" s="42"/>
      <c r="AI17" s="42"/>
      <c r="AJ17" s="45"/>
    </row>
    <row r="18" spans="1:36" ht="14.25" x14ac:dyDescent="0.25">
      <c r="B18" t="s">
        <v>138</v>
      </c>
      <c r="AA18" s="60"/>
      <c r="AB18" s="31" t="s">
        <v>37</v>
      </c>
      <c r="AC18" s="32" t="s">
        <v>19</v>
      </c>
      <c r="AD18" s="82" t="s">
        <v>38</v>
      </c>
      <c r="AE18" s="46" t="s">
        <v>41</v>
      </c>
      <c r="AF18" s="47" t="s">
        <v>73</v>
      </c>
      <c r="AG18" s="48" t="s">
        <v>50</v>
      </c>
      <c r="AH18" s="49" t="s">
        <v>42</v>
      </c>
      <c r="AI18" s="49" t="s">
        <v>43</v>
      </c>
      <c r="AJ18" s="49" t="s">
        <v>20</v>
      </c>
    </row>
    <row r="19" spans="1:36" x14ac:dyDescent="0.2">
      <c r="B19" s="78" t="s">
        <v>69</v>
      </c>
      <c r="C19" s="78"/>
      <c r="AA19" s="28" t="s">
        <v>21</v>
      </c>
      <c r="AB19" s="34" t="s">
        <v>22</v>
      </c>
      <c r="AC19" s="35" t="s">
        <v>23</v>
      </c>
      <c r="AD19" s="179" t="s">
        <v>40</v>
      </c>
      <c r="AE19" s="113" t="s">
        <v>24</v>
      </c>
      <c r="AF19" s="50" t="s">
        <v>30</v>
      </c>
      <c r="AG19" s="50" t="s">
        <v>23</v>
      </c>
      <c r="AH19" s="50" t="s">
        <v>25</v>
      </c>
      <c r="AI19" s="50" t="s">
        <v>25</v>
      </c>
      <c r="AJ19" s="50" t="s">
        <v>26</v>
      </c>
    </row>
    <row r="20" spans="1:36" x14ac:dyDescent="0.2">
      <c r="AA20" s="1"/>
      <c r="AB20" s="36" t="s">
        <v>39</v>
      </c>
      <c r="AC20" s="37" t="s">
        <v>27</v>
      </c>
      <c r="AD20" s="180"/>
      <c r="AE20" s="114" t="s">
        <v>28</v>
      </c>
      <c r="AF20" s="51"/>
      <c r="AG20" s="51" t="s">
        <v>51</v>
      </c>
      <c r="AH20" s="51" t="s">
        <v>29</v>
      </c>
      <c r="AI20" s="51" t="s">
        <v>30</v>
      </c>
      <c r="AJ20" s="51" t="s">
        <v>31</v>
      </c>
    </row>
    <row r="21" spans="1:36" ht="15" thickBot="1" x14ac:dyDescent="0.25">
      <c r="B21" s="118" t="s">
        <v>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AA21" s="61"/>
      <c r="AB21" s="38" t="s">
        <v>32</v>
      </c>
      <c r="AC21" s="39" t="s">
        <v>33</v>
      </c>
      <c r="AD21" s="52" t="s">
        <v>34</v>
      </c>
      <c r="AE21" s="80"/>
      <c r="AF21" s="52" t="s">
        <v>75</v>
      </c>
      <c r="AG21" s="52" t="s">
        <v>52</v>
      </c>
      <c r="AH21" s="52" t="s">
        <v>35</v>
      </c>
      <c r="AI21" s="52" t="s">
        <v>35</v>
      </c>
      <c r="AJ21" s="52" t="s">
        <v>36</v>
      </c>
    </row>
    <row r="22" spans="1:36" ht="15" thickTop="1" x14ac:dyDescent="0.25">
      <c r="B22" s="134" t="s">
        <v>7</v>
      </c>
      <c r="C22" s="136" t="s">
        <v>9</v>
      </c>
      <c r="D22" s="159"/>
      <c r="E22" s="137"/>
      <c r="F22" s="138" t="s">
        <v>10</v>
      </c>
      <c r="G22" s="158"/>
      <c r="H22" s="139"/>
      <c r="I22" s="136" t="s">
        <v>11</v>
      </c>
      <c r="J22" s="159"/>
      <c r="K22" s="137"/>
      <c r="L22" s="138" t="s">
        <v>12</v>
      </c>
      <c r="M22" s="158"/>
      <c r="N22" s="139"/>
      <c r="O22" s="136" t="s">
        <v>13</v>
      </c>
      <c r="P22" s="159"/>
      <c r="Q22" s="137"/>
      <c r="R22" s="138" t="s">
        <v>14</v>
      </c>
      <c r="S22" s="158"/>
      <c r="T22" s="139"/>
      <c r="AA22" s="29">
        <v>1</v>
      </c>
      <c r="AB22" s="40">
        <v>25</v>
      </c>
      <c r="AC22" s="40">
        <f>6.407*POWER(AD22, -0.5478)</f>
        <v>0.5141084285809101</v>
      </c>
      <c r="AD22" s="81">
        <f>AF22*$F$12</f>
        <v>100</v>
      </c>
      <c r="AE22" s="53">
        <f>AF22/$F$12</f>
        <v>1</v>
      </c>
      <c r="AF22" s="54">
        <f>$F$11/AB22*$F$12</f>
        <v>10</v>
      </c>
      <c r="AG22" s="53">
        <f>AC22*AD22</f>
        <v>51.410842858091009</v>
      </c>
      <c r="AH22" s="55">
        <f>SQRT(AD22/AE22)</f>
        <v>10</v>
      </c>
      <c r="AI22" s="56">
        <f>(AH22*AE22)</f>
        <v>10</v>
      </c>
      <c r="AJ22" s="57">
        <f>(($AC$2/AH22)+($AC$3/AI22))*100+5</f>
        <v>15</v>
      </c>
    </row>
    <row r="23" spans="1:36" ht="14.25" x14ac:dyDescent="0.25">
      <c r="B23" s="135"/>
      <c r="C23" s="10" t="s">
        <v>74</v>
      </c>
      <c r="D23" s="10" t="s">
        <v>54</v>
      </c>
      <c r="E23" s="106" t="s">
        <v>125</v>
      </c>
      <c r="F23" s="11" t="s">
        <v>77</v>
      </c>
      <c r="G23" s="11" t="s">
        <v>58</v>
      </c>
      <c r="H23" s="108" t="s">
        <v>133</v>
      </c>
      <c r="I23" s="10" t="s">
        <v>78</v>
      </c>
      <c r="J23" s="10" t="s">
        <v>60</v>
      </c>
      <c r="K23" s="106" t="s">
        <v>134</v>
      </c>
      <c r="L23" s="11" t="s">
        <v>79</v>
      </c>
      <c r="M23" s="11" t="s">
        <v>62</v>
      </c>
      <c r="N23" s="108" t="s">
        <v>135</v>
      </c>
      <c r="O23" s="10" t="s">
        <v>80</v>
      </c>
      <c r="P23" s="10" t="s">
        <v>64</v>
      </c>
      <c r="Q23" s="106" t="s">
        <v>136</v>
      </c>
      <c r="R23" s="11" t="s">
        <v>81</v>
      </c>
      <c r="S23" s="11" t="s">
        <v>66</v>
      </c>
      <c r="T23" s="108" t="s">
        <v>137</v>
      </c>
      <c r="AA23" s="29">
        <v>2</v>
      </c>
      <c r="AB23" s="40">
        <v>50</v>
      </c>
      <c r="AC23" s="40">
        <f>5.126*POWER(AD23, -0.5478)</f>
        <v>0.60128841095911068</v>
      </c>
      <c r="AD23" s="81">
        <f>AF23*$F$12</f>
        <v>50</v>
      </c>
      <c r="AE23" s="53">
        <f>AF23/$F$12</f>
        <v>0.5</v>
      </c>
      <c r="AF23" s="54">
        <f>$F$11/AB23*$F$12</f>
        <v>5</v>
      </c>
      <c r="AG23" s="53">
        <f>AC23*AD23</f>
        <v>30.064420547955535</v>
      </c>
      <c r="AH23" s="55">
        <f>SQRT(AD23/AE23)</f>
        <v>10</v>
      </c>
      <c r="AI23" s="56">
        <f>(AH23*AE23)</f>
        <v>5</v>
      </c>
      <c r="AJ23" s="57">
        <f>(($AC$2/AH23)+($AC$3/AI23))*100+5</f>
        <v>20</v>
      </c>
    </row>
    <row r="24" spans="1:36" ht="14.25" customHeight="1" thickBot="1" x14ac:dyDescent="0.25">
      <c r="B24" s="13" t="s">
        <v>113</v>
      </c>
      <c r="C24" s="75" t="s">
        <v>75</v>
      </c>
      <c r="D24" s="71" t="s">
        <v>55</v>
      </c>
      <c r="E24" s="110" t="s">
        <v>126</v>
      </c>
      <c r="F24" s="76" t="s">
        <v>75</v>
      </c>
      <c r="G24" s="72" t="s">
        <v>55</v>
      </c>
      <c r="H24" s="109" t="s">
        <v>126</v>
      </c>
      <c r="I24" s="75" t="s">
        <v>75</v>
      </c>
      <c r="J24" s="71" t="s">
        <v>55</v>
      </c>
      <c r="K24" s="110" t="s">
        <v>126</v>
      </c>
      <c r="L24" s="76" t="s">
        <v>75</v>
      </c>
      <c r="M24" s="72" t="s">
        <v>55</v>
      </c>
      <c r="N24" s="109" t="s">
        <v>126</v>
      </c>
      <c r="O24" s="75" t="s">
        <v>75</v>
      </c>
      <c r="P24" s="71" t="s">
        <v>55</v>
      </c>
      <c r="Q24" s="110" t="s">
        <v>126</v>
      </c>
      <c r="R24" s="76" t="s">
        <v>75</v>
      </c>
      <c r="S24" s="72" t="s">
        <v>55</v>
      </c>
      <c r="T24" s="109" t="s">
        <v>126</v>
      </c>
      <c r="AA24" s="29">
        <v>3</v>
      </c>
      <c r="AB24" s="40">
        <v>100</v>
      </c>
      <c r="AC24" s="40">
        <f>3.844*POWER(AD24, -0.5478)</f>
        <v>0.65916151348902963</v>
      </c>
      <c r="AD24" s="81">
        <f>AF24*$F$12</f>
        <v>25</v>
      </c>
      <c r="AE24" s="53">
        <f>AF24/$F$12</f>
        <v>0.25</v>
      </c>
      <c r="AF24" s="54">
        <f>$F$11/AB24*$F$12</f>
        <v>2.5</v>
      </c>
      <c r="AG24" s="53">
        <f>AC24*AD24</f>
        <v>16.479037837225739</v>
      </c>
      <c r="AH24" s="55">
        <f>SQRT(AD24/AE24)</f>
        <v>10</v>
      </c>
      <c r="AI24" s="56">
        <f>(AH24*AE24)</f>
        <v>2.5</v>
      </c>
      <c r="AJ24" s="57">
        <f>(($AC$2/AH24)+($AC$3/AI24))*100+5</f>
        <v>30</v>
      </c>
    </row>
    <row r="25" spans="1:36" x14ac:dyDescent="0.2">
      <c r="B25" s="14">
        <v>25</v>
      </c>
      <c r="C25" s="73">
        <f t="shared" ref="C25:D28" si="0">AF11</f>
        <v>27.200000000000003</v>
      </c>
      <c r="D25" s="73">
        <f t="shared" si="0"/>
        <v>80.828921192644657</v>
      </c>
      <c r="E25" s="62">
        <f>AJ11</f>
        <v>11.838235294117649</v>
      </c>
      <c r="F25" s="77">
        <f t="shared" ref="F25:G28" si="1">AF22</f>
        <v>10</v>
      </c>
      <c r="G25" s="77">
        <f t="shared" si="1"/>
        <v>51.410842858091009</v>
      </c>
      <c r="H25" s="93">
        <f>AJ22</f>
        <v>15</v>
      </c>
      <c r="I25" s="73">
        <f t="shared" ref="I25:J28" si="2">AF33</f>
        <v>15</v>
      </c>
      <c r="J25" s="73">
        <f t="shared" si="2"/>
        <v>74.184241175231733</v>
      </c>
      <c r="K25" s="62">
        <f>AJ33</f>
        <v>11.666666666666668</v>
      </c>
      <c r="L25" s="77">
        <f t="shared" ref="L25:M28" si="3">AF44</f>
        <v>20</v>
      </c>
      <c r="M25" s="77">
        <f t="shared" si="3"/>
        <v>96.22906190553266</v>
      </c>
      <c r="N25" s="93">
        <f>AJ44</f>
        <v>10</v>
      </c>
      <c r="O25" s="73">
        <f t="shared" ref="O25:P28" si="4">AF55</f>
        <v>3000</v>
      </c>
      <c r="P25" s="73">
        <f t="shared" si="4"/>
        <v>814.39935816386605</v>
      </c>
      <c r="Q25" s="62">
        <f>AJ55</f>
        <v>8.35</v>
      </c>
      <c r="R25" s="77">
        <f t="shared" ref="R25:S28" si="5">AF66</f>
        <v>6000</v>
      </c>
      <c r="S25" s="77">
        <f t="shared" si="5"/>
        <v>1114.2000837312844</v>
      </c>
      <c r="T25" s="93">
        <f>AJ66</f>
        <v>8.3416666666666668</v>
      </c>
      <c r="AA25" s="29">
        <v>4</v>
      </c>
      <c r="AB25" s="40">
        <v>250</v>
      </c>
      <c r="AC25" s="40">
        <f>3.844*POWER(AD25, -0.5478)</f>
        <v>1.0888884193879778</v>
      </c>
      <c r="AD25" s="81">
        <f>AF25*$F$12</f>
        <v>10</v>
      </c>
      <c r="AE25" s="53">
        <f>AF25/$F$12</f>
        <v>0.1</v>
      </c>
      <c r="AF25" s="54">
        <f>$F$11/AB25*$F$12</f>
        <v>1</v>
      </c>
      <c r="AG25" s="53">
        <f>AC25*AD25</f>
        <v>10.888884193879777</v>
      </c>
      <c r="AH25" s="55">
        <f>SQRT(AD25/AE25)</f>
        <v>10</v>
      </c>
      <c r="AI25" s="56">
        <f>(AH25*AE25)</f>
        <v>1</v>
      </c>
      <c r="AJ25" s="57">
        <f>(($AC$2/AH25)+($AC$3/AI25))*100+5</f>
        <v>60.000000000000007</v>
      </c>
    </row>
    <row r="26" spans="1:36" ht="13.5" thickBot="1" x14ac:dyDescent="0.25">
      <c r="B26" s="14">
        <v>50</v>
      </c>
      <c r="C26" s="73">
        <f t="shared" si="0"/>
        <v>13.600000000000001</v>
      </c>
      <c r="D26" s="73">
        <f t="shared" si="0"/>
        <v>47.267746336720087</v>
      </c>
      <c r="E26" s="62">
        <f>AJ12</f>
        <v>13.676470588235293</v>
      </c>
      <c r="F26" s="77">
        <f t="shared" si="1"/>
        <v>5</v>
      </c>
      <c r="G26" s="77">
        <f t="shared" si="1"/>
        <v>30.064420547955535</v>
      </c>
      <c r="H26" s="93">
        <f>AJ23</f>
        <v>20</v>
      </c>
      <c r="I26" s="73">
        <f t="shared" si="2"/>
        <v>7.5</v>
      </c>
      <c r="J26" s="73">
        <f t="shared" si="2"/>
        <v>43.38202022634453</v>
      </c>
      <c r="K26" s="62">
        <f>AJ34</f>
        <v>15</v>
      </c>
      <c r="L26" s="77">
        <f t="shared" si="3"/>
        <v>10</v>
      </c>
      <c r="M26" s="77">
        <f t="shared" si="3"/>
        <v>56.273556806856931</v>
      </c>
      <c r="N26" s="93">
        <f>AJ45</f>
        <v>12.5</v>
      </c>
      <c r="O26" s="73">
        <f t="shared" si="4"/>
        <v>1500</v>
      </c>
      <c r="P26" s="73">
        <f t="shared" si="4"/>
        <v>476.25060078100182</v>
      </c>
      <c r="Q26" s="62">
        <f>AJ56</f>
        <v>8.3666666666666671</v>
      </c>
      <c r="R26" s="77">
        <f t="shared" si="5"/>
        <v>3000</v>
      </c>
      <c r="S26" s="77">
        <f t="shared" si="5"/>
        <v>651.57033087997161</v>
      </c>
      <c r="T26" s="93">
        <f>AJ67</f>
        <v>8.35</v>
      </c>
      <c r="AA26" s="29">
        <v>5</v>
      </c>
      <c r="AB26" s="40">
        <v>1000</v>
      </c>
      <c r="AC26" s="40">
        <f>6.047*POWER(AD26, -0.5478)</f>
        <v>3.6605676037114168</v>
      </c>
      <c r="AD26" s="81">
        <f>AF26*$F$12</f>
        <v>2.5</v>
      </c>
      <c r="AE26" s="53">
        <f>AF26/$F$12</f>
        <v>2.5000000000000001E-2</v>
      </c>
      <c r="AF26" s="54">
        <f>$F$11/AB26*$F$12</f>
        <v>0.25</v>
      </c>
      <c r="AG26" s="53">
        <f>AC26*AD26</f>
        <v>9.1514190092785412</v>
      </c>
      <c r="AH26" s="55">
        <f>SQRT(AD26/AE26)</f>
        <v>10</v>
      </c>
      <c r="AI26" s="56">
        <f>(AH26*AE26)</f>
        <v>0.25</v>
      </c>
      <c r="AJ26" s="57">
        <f>(($AC$2/AH26)+($AC$3/AI26))*100+5</f>
        <v>209.99999999999997</v>
      </c>
    </row>
    <row r="27" spans="1:36" ht="13.5" thickBot="1" x14ac:dyDescent="0.25">
      <c r="B27" s="14">
        <v>100</v>
      </c>
      <c r="C27" s="73">
        <f t="shared" si="0"/>
        <v>6.8000000000000007</v>
      </c>
      <c r="D27" s="74">
        <f t="shared" si="0"/>
        <v>25.908597809850953</v>
      </c>
      <c r="E27" s="62">
        <f>AJ13</f>
        <v>17.352941176470587</v>
      </c>
      <c r="F27" s="77">
        <f t="shared" si="1"/>
        <v>2.5</v>
      </c>
      <c r="G27" s="77">
        <f t="shared" si="1"/>
        <v>16.479037837225739</v>
      </c>
      <c r="H27" s="93">
        <f>AJ24</f>
        <v>30</v>
      </c>
      <c r="I27" s="73">
        <f>AF35</f>
        <v>3.75</v>
      </c>
      <c r="J27" s="73">
        <f t="shared" si="2"/>
        <v>23.778737116349941</v>
      </c>
      <c r="K27" s="62">
        <f>AJ35</f>
        <v>21.666666666666664</v>
      </c>
      <c r="L27" s="77">
        <f t="shared" si="3"/>
        <v>5</v>
      </c>
      <c r="M27" s="77">
        <f t="shared" si="3"/>
        <v>30.844900881301989</v>
      </c>
      <c r="N27" s="93">
        <f>AJ46</f>
        <v>17.5</v>
      </c>
      <c r="O27" s="73">
        <f>AF57</f>
        <v>750</v>
      </c>
      <c r="P27" s="73">
        <f t="shared" si="4"/>
        <v>261.04450134846581</v>
      </c>
      <c r="Q27" s="62">
        <f>AJ57</f>
        <v>8.4</v>
      </c>
      <c r="R27" s="77">
        <f>AF68</f>
        <v>1500</v>
      </c>
      <c r="S27" s="77">
        <f t="shared" si="5"/>
        <v>357.1414961767793</v>
      </c>
      <c r="T27" s="93">
        <f>AJ68</f>
        <v>8.3666666666666671</v>
      </c>
      <c r="AA27" s="58" t="s">
        <v>2</v>
      </c>
      <c r="AB27" s="2"/>
      <c r="AC27" s="2"/>
      <c r="AD27" s="2"/>
      <c r="AE27" s="111"/>
      <c r="AH27" s="2"/>
      <c r="AI27" s="2"/>
      <c r="AJ27" s="2"/>
    </row>
    <row r="28" spans="1:36" x14ac:dyDescent="0.2">
      <c r="B28" s="14">
        <v>250</v>
      </c>
      <c r="C28" s="73">
        <f t="shared" si="0"/>
        <v>2.72</v>
      </c>
      <c r="D28" s="74">
        <f t="shared" si="0"/>
        <v>17.119671910697473</v>
      </c>
      <c r="E28" s="62">
        <f>AJ14</f>
        <v>28.382352941176471</v>
      </c>
      <c r="F28" s="77">
        <f t="shared" si="1"/>
        <v>1</v>
      </c>
      <c r="G28" s="77">
        <f t="shared" si="1"/>
        <v>10.888884193879777</v>
      </c>
      <c r="H28" s="93">
        <f>AJ25</f>
        <v>60.000000000000007</v>
      </c>
      <c r="I28" s="73">
        <f>AF36</f>
        <v>1.5</v>
      </c>
      <c r="J28" s="73">
        <f t="shared" si="2"/>
        <v>15.71231993604278</v>
      </c>
      <c r="K28" s="62">
        <f>AJ36</f>
        <v>41.666666666666664</v>
      </c>
      <c r="L28" s="77">
        <f t="shared" si="3"/>
        <v>2</v>
      </c>
      <c r="M28" s="77">
        <f t="shared" si="3"/>
        <v>20.381441986223464</v>
      </c>
      <c r="N28" s="93">
        <f>AJ47</f>
        <v>32.5</v>
      </c>
      <c r="O28" s="73">
        <f>AF58</f>
        <v>300</v>
      </c>
      <c r="P28" s="73">
        <f t="shared" si="4"/>
        <v>172.49085612337367</v>
      </c>
      <c r="Q28" s="62">
        <f>AJ58</f>
        <v>8.5</v>
      </c>
      <c r="R28" s="77">
        <f>AF69</f>
        <v>600</v>
      </c>
      <c r="S28" s="77">
        <f t="shared" si="5"/>
        <v>235.98904445216087</v>
      </c>
      <c r="T28" s="93">
        <f>AJ69</f>
        <v>8.4166666666666661</v>
      </c>
      <c r="AA28" s="27"/>
      <c r="AB28" s="30"/>
      <c r="AC28" s="30"/>
      <c r="AD28" s="42"/>
      <c r="AE28" s="112"/>
      <c r="AF28" s="43"/>
      <c r="AG28" s="44"/>
      <c r="AH28" s="42"/>
      <c r="AI28" s="42"/>
      <c r="AJ28" s="45"/>
    </row>
    <row r="29" spans="1:36" ht="14.25" x14ac:dyDescent="0.25">
      <c r="B29" s="14">
        <v>1000</v>
      </c>
      <c r="C29" s="89">
        <f>AF15</f>
        <v>0.68</v>
      </c>
      <c r="D29" s="74">
        <f>AG15</f>
        <v>14.388002311956489</v>
      </c>
      <c r="E29" s="62">
        <f>AJ15</f>
        <v>83.529411764705884</v>
      </c>
      <c r="F29" s="77">
        <f>AF26</f>
        <v>0.25</v>
      </c>
      <c r="G29" s="77">
        <f>AG26</f>
        <v>9.1514190092785412</v>
      </c>
      <c r="H29" s="93">
        <f>AJ26</f>
        <v>209.99999999999997</v>
      </c>
      <c r="I29" s="73">
        <f>AF37</f>
        <v>0.375</v>
      </c>
      <c r="J29" s="73">
        <f>AG37</f>
        <v>13.205211919085967</v>
      </c>
      <c r="K29" s="62">
        <f>AJ37</f>
        <v>141.66666666666666</v>
      </c>
      <c r="L29" s="77">
        <f>AF48</f>
        <v>0.5</v>
      </c>
      <c r="M29" s="77">
        <f>AG48</f>
        <v>17.1293139230986</v>
      </c>
      <c r="N29" s="93">
        <f>AJ48</f>
        <v>107.49999999999999</v>
      </c>
      <c r="O29" s="73">
        <f>AF59</f>
        <v>75</v>
      </c>
      <c r="P29" s="73">
        <f>AG59</f>
        <v>144.9676634949802</v>
      </c>
      <c r="Q29" s="62">
        <f>AJ59</f>
        <v>9</v>
      </c>
      <c r="R29" s="77">
        <f>AF70</f>
        <v>150</v>
      </c>
      <c r="S29" s="77">
        <f>AG70</f>
        <v>198.33387782697062</v>
      </c>
      <c r="T29" s="93">
        <f>AJ70</f>
        <v>8.6666666666666661</v>
      </c>
      <c r="AA29" s="60"/>
      <c r="AB29" s="31" t="s">
        <v>18</v>
      </c>
      <c r="AC29" s="32" t="s">
        <v>19</v>
      </c>
      <c r="AD29" s="82" t="s">
        <v>38</v>
      </c>
      <c r="AE29" s="46" t="s">
        <v>41</v>
      </c>
      <c r="AF29" s="47" t="s">
        <v>73</v>
      </c>
      <c r="AG29" s="48" t="s">
        <v>50</v>
      </c>
      <c r="AH29" s="49" t="s">
        <v>42</v>
      </c>
      <c r="AI29" s="49" t="s">
        <v>43</v>
      </c>
      <c r="AJ29" s="49" t="s">
        <v>20</v>
      </c>
    </row>
    <row r="30" spans="1:36" x14ac:dyDescent="0.2">
      <c r="E30" s="24"/>
      <c r="AA30" s="28" t="s">
        <v>21</v>
      </c>
      <c r="AB30" s="34" t="s">
        <v>22</v>
      </c>
      <c r="AC30" s="35" t="s">
        <v>23</v>
      </c>
      <c r="AD30" s="179" t="s">
        <v>40</v>
      </c>
      <c r="AE30" s="113" t="s">
        <v>24</v>
      </c>
      <c r="AF30" s="50" t="s">
        <v>30</v>
      </c>
      <c r="AG30" s="50" t="s">
        <v>23</v>
      </c>
      <c r="AH30" s="50" t="s">
        <v>25</v>
      </c>
      <c r="AI30" s="50" t="s">
        <v>25</v>
      </c>
      <c r="AJ30" s="50" t="s">
        <v>26</v>
      </c>
    </row>
    <row r="31" spans="1:36" x14ac:dyDescent="0.2">
      <c r="A31" s="103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AA31" s="1"/>
      <c r="AB31" s="36" t="s">
        <v>39</v>
      </c>
      <c r="AC31" s="37" t="s">
        <v>27</v>
      </c>
      <c r="AD31" s="180"/>
      <c r="AE31" s="114" t="s">
        <v>28</v>
      </c>
      <c r="AF31" s="51"/>
      <c r="AG31" s="51" t="s">
        <v>51</v>
      </c>
      <c r="AH31" s="51" t="s">
        <v>29</v>
      </c>
      <c r="AI31" s="51" t="s">
        <v>30</v>
      </c>
      <c r="AJ31" s="51" t="s">
        <v>31</v>
      </c>
    </row>
    <row r="32" spans="1:36" ht="15" thickBot="1" x14ac:dyDescent="0.25">
      <c r="AA32" s="61"/>
      <c r="AB32" s="38" t="s">
        <v>32</v>
      </c>
      <c r="AC32" s="39" t="s">
        <v>33</v>
      </c>
      <c r="AD32" s="52" t="s">
        <v>34</v>
      </c>
      <c r="AE32" s="80"/>
      <c r="AF32" s="52" t="s">
        <v>75</v>
      </c>
      <c r="AG32" s="52" t="s">
        <v>52</v>
      </c>
      <c r="AH32" s="52" t="s">
        <v>35</v>
      </c>
      <c r="AI32" s="52" t="s">
        <v>35</v>
      </c>
      <c r="AJ32" s="52" t="s">
        <v>36</v>
      </c>
    </row>
    <row r="33" spans="2:36" ht="13.5" thickTop="1" x14ac:dyDescent="0.2">
      <c r="AA33" s="29">
        <v>1</v>
      </c>
      <c r="AB33" s="40">
        <v>25</v>
      </c>
      <c r="AC33" s="40">
        <f>6.407*POWER(AD33, -0.5478)</f>
        <v>0.32970773855658547</v>
      </c>
      <c r="AD33" s="81">
        <f>AF33*$I$12</f>
        <v>225</v>
      </c>
      <c r="AE33" s="53">
        <f>AF33/$I$12</f>
        <v>1</v>
      </c>
      <c r="AF33" s="54">
        <f>$I$11/AB33*$I$12</f>
        <v>15</v>
      </c>
      <c r="AG33" s="53">
        <f>AC33*AD33</f>
        <v>74.184241175231733</v>
      </c>
      <c r="AH33" s="55">
        <f>SQRT(AD33/AE33)</f>
        <v>15</v>
      </c>
      <c r="AI33" s="56">
        <f>(AH33*AE33)</f>
        <v>15</v>
      </c>
      <c r="AJ33" s="57">
        <f>(($AC$2/AH33)+($AC$3/AI33))*100+5</f>
        <v>11.666666666666668</v>
      </c>
    </row>
    <row r="34" spans="2:36" x14ac:dyDescent="0.2">
      <c r="B34" t="s">
        <v>17</v>
      </c>
      <c r="AA34" s="29">
        <v>2</v>
      </c>
      <c r="AB34" s="40">
        <v>50</v>
      </c>
      <c r="AC34" s="40">
        <f>5.126*POWER(AD34, -0.5478)</f>
        <v>0.38561795756750694</v>
      </c>
      <c r="AD34" s="81">
        <f>AF34*$I$12</f>
        <v>112.5</v>
      </c>
      <c r="AE34" s="53">
        <f>AF34/$I$12</f>
        <v>0.5</v>
      </c>
      <c r="AF34" s="54">
        <f>$I$11/AB34*$I$12</f>
        <v>7.5</v>
      </c>
      <c r="AG34" s="53">
        <f>AC34*AD34</f>
        <v>43.38202022634453</v>
      </c>
      <c r="AH34" s="55">
        <f>SQRT(AD34/AE34)</f>
        <v>15</v>
      </c>
      <c r="AI34" s="56">
        <f>(AH34*AE34)</f>
        <v>7.5</v>
      </c>
      <c r="AJ34" s="57">
        <f>(($AC$2/AH34)+($AC$3/AI34))*100+5</f>
        <v>15</v>
      </c>
    </row>
    <row r="35" spans="2:36" x14ac:dyDescent="0.2">
      <c r="B35" t="s">
        <v>68</v>
      </c>
      <c r="AA35" s="29">
        <v>3</v>
      </c>
      <c r="AB35" s="40">
        <v>100</v>
      </c>
      <c r="AC35" s="40">
        <f>3.844*POWER(AD35, -0.5478)</f>
        <v>0.42273310429066563</v>
      </c>
      <c r="AD35" s="81">
        <f>AF35*$I$12</f>
        <v>56.25</v>
      </c>
      <c r="AE35" s="53">
        <f>AF35/$I$12</f>
        <v>0.25</v>
      </c>
      <c r="AF35" s="54">
        <f>$I$11/AB35*$I$12</f>
        <v>3.75</v>
      </c>
      <c r="AG35" s="53">
        <f>AC35*AD35</f>
        <v>23.778737116349941</v>
      </c>
      <c r="AH35" s="55">
        <f>SQRT(AD35/AE35)</f>
        <v>15</v>
      </c>
      <c r="AI35" s="56">
        <f>(AH35*AE35)</f>
        <v>3.75</v>
      </c>
      <c r="AJ35" s="57">
        <f>(($AC$2/AH35)+($AC$3/AI35))*100+5</f>
        <v>21.666666666666664</v>
      </c>
    </row>
    <row r="36" spans="2:36" x14ac:dyDescent="0.2">
      <c r="AA36" s="29">
        <v>4</v>
      </c>
      <c r="AB36" s="40">
        <v>250</v>
      </c>
      <c r="AC36" s="40">
        <f>3.844*POWER(AD36, -0.5478)</f>
        <v>0.69832533049079026</v>
      </c>
      <c r="AD36" s="81">
        <f>AF36*$I$12</f>
        <v>22.5</v>
      </c>
      <c r="AE36" s="53">
        <f>AF36/$I$12</f>
        <v>0.1</v>
      </c>
      <c r="AF36" s="54">
        <f>$I$11/AB36*$I$12</f>
        <v>1.5</v>
      </c>
      <c r="AG36" s="53">
        <f>AC36*AD36</f>
        <v>15.71231993604278</v>
      </c>
      <c r="AH36" s="55">
        <f>SQRT(AD36/AE36)</f>
        <v>15</v>
      </c>
      <c r="AI36" s="56">
        <f>(AH36*AE36)</f>
        <v>1.5</v>
      </c>
      <c r="AJ36" s="57">
        <f>(($AC$2/AH36)+($AC$3/AI36))*100+5</f>
        <v>41.666666666666664</v>
      </c>
    </row>
    <row r="37" spans="2:36" ht="13.5" thickBot="1" x14ac:dyDescent="0.25">
      <c r="B37" s="118" t="s">
        <v>16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AA37" s="29">
        <v>5</v>
      </c>
      <c r="AB37" s="40">
        <v>1000</v>
      </c>
      <c r="AC37" s="40">
        <f>6.047*POWER(AD37, -0.5478)</f>
        <v>2.3475932300597275</v>
      </c>
      <c r="AD37" s="81">
        <f>AF37*$I$12</f>
        <v>5.625</v>
      </c>
      <c r="AE37" s="53">
        <f>AF37/$I$12</f>
        <v>2.5000000000000001E-2</v>
      </c>
      <c r="AF37" s="54">
        <f>$I$11/AB37*$I$12</f>
        <v>0.375</v>
      </c>
      <c r="AG37" s="53">
        <f>AC37*AD37</f>
        <v>13.205211919085967</v>
      </c>
      <c r="AH37" s="55">
        <f>SQRT(AD37/AE37)</f>
        <v>15</v>
      </c>
      <c r="AI37" s="56">
        <f>(AH37*AE37)</f>
        <v>0.375</v>
      </c>
      <c r="AJ37" s="57">
        <f>(($AC$2/AH37)+($AC$3/AI37))*100+5</f>
        <v>141.66666666666666</v>
      </c>
    </row>
    <row r="38" spans="2:36" ht="13.5" thickBot="1" x14ac:dyDescent="0.25">
      <c r="B38" s="166" t="s">
        <v>7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AA38" s="59" t="s">
        <v>3</v>
      </c>
      <c r="AB38" s="2"/>
      <c r="AC38" s="2"/>
      <c r="AD38" s="2"/>
      <c r="AE38" s="111"/>
      <c r="AH38" s="2"/>
      <c r="AI38" s="2"/>
      <c r="AJ38" s="2"/>
    </row>
    <row r="39" spans="2:36" x14ac:dyDescent="0.2">
      <c r="B39" s="167"/>
      <c r="C39" s="20"/>
      <c r="D39" s="21"/>
      <c r="E39" s="16"/>
      <c r="F39" s="21"/>
      <c r="G39" s="21"/>
      <c r="H39" s="16"/>
      <c r="I39" s="21"/>
      <c r="J39" s="21"/>
      <c r="K39" s="16"/>
      <c r="L39" s="21"/>
      <c r="M39" s="21"/>
      <c r="N39" s="16"/>
      <c r="O39" s="21"/>
      <c r="P39" s="21"/>
      <c r="Q39" s="16"/>
      <c r="R39" s="21"/>
      <c r="S39" s="22"/>
      <c r="AA39" s="27"/>
      <c r="AB39" s="30"/>
      <c r="AC39" s="30"/>
      <c r="AD39" s="42"/>
      <c r="AE39" s="112"/>
      <c r="AF39" s="43"/>
      <c r="AG39" s="44"/>
      <c r="AH39" s="42"/>
      <c r="AI39" s="42"/>
      <c r="AJ39" s="45"/>
    </row>
    <row r="40" spans="2:36" ht="15" thickBot="1" x14ac:dyDescent="0.3">
      <c r="B40" s="13" t="s">
        <v>113</v>
      </c>
      <c r="C40" s="142" t="s">
        <v>9</v>
      </c>
      <c r="D40" s="143"/>
      <c r="E40" s="23"/>
      <c r="F40" s="144" t="s">
        <v>10</v>
      </c>
      <c r="G40" s="145"/>
      <c r="H40" s="23"/>
      <c r="I40" s="142" t="s">
        <v>11</v>
      </c>
      <c r="J40" s="143"/>
      <c r="K40" s="23"/>
      <c r="L40" s="144" t="s">
        <v>12</v>
      </c>
      <c r="M40" s="145"/>
      <c r="N40" s="23"/>
      <c r="O40" s="142" t="s">
        <v>13</v>
      </c>
      <c r="P40" s="143"/>
      <c r="Q40" s="23"/>
      <c r="R40" s="144" t="s">
        <v>14</v>
      </c>
      <c r="S40" s="145"/>
      <c r="AA40" s="60"/>
      <c r="AB40" s="31" t="s">
        <v>18</v>
      </c>
      <c r="AC40" s="32" t="s">
        <v>19</v>
      </c>
      <c r="AD40" s="82" t="s">
        <v>38</v>
      </c>
      <c r="AE40" s="46" t="s">
        <v>41</v>
      </c>
      <c r="AF40" s="47" t="s">
        <v>73</v>
      </c>
      <c r="AG40" s="48" t="s">
        <v>50</v>
      </c>
      <c r="AH40" s="49" t="s">
        <v>42</v>
      </c>
      <c r="AI40" s="49" t="s">
        <v>43</v>
      </c>
      <c r="AJ40" s="49" t="s">
        <v>20</v>
      </c>
    </row>
    <row r="41" spans="2:36" x14ac:dyDescent="0.2">
      <c r="B41" s="14">
        <v>25</v>
      </c>
      <c r="C41" s="168" t="str">
        <f>IF(AE11&lt;1,"Partial Square",IF(AE11&lt;=10,"Bar",IF(AE11&gt;10,"Serpentine")))</f>
        <v>Bar</v>
      </c>
      <c r="D41" s="169"/>
      <c r="E41" s="67"/>
      <c r="F41" s="164" t="str">
        <f>IF(AE22&lt;1,"Partial Square",IF(AE22&lt;=10,"Bar",IF(AE22&gt;10,"Serpentine")))</f>
        <v>Bar</v>
      </c>
      <c r="G41" s="165"/>
      <c r="H41" s="68"/>
      <c r="I41" s="168" t="str">
        <f>IF(AE33&lt;1,"Partial Square",IF(AE33&lt;=10,"Bar",IF(AE33&gt;10,"Serpentine")))</f>
        <v>Bar</v>
      </c>
      <c r="J41" s="169"/>
      <c r="K41" s="68"/>
      <c r="L41" s="164" t="str">
        <f>IF(AE44&lt;1,"Partial Square",IF(AE44&lt;=10,"Bar",IF(AE44&gt;10,"Serpentine")))</f>
        <v>Bar</v>
      </c>
      <c r="M41" s="165"/>
      <c r="N41" s="68"/>
      <c r="O41" s="168" t="str">
        <f>IF(AE55&lt;1,"Partial Square",IF(AE55&lt;=10,"Bar",IF(AE55&gt;10,"Serpentine")))</f>
        <v>Serpentine</v>
      </c>
      <c r="P41" s="169"/>
      <c r="Q41" s="68"/>
      <c r="R41" s="164" t="str">
        <f>IF(AE66&lt;1,"Partial Square",IF(AE66&lt;=10,"Bar",IF(AE66&gt;10,"Serpentine")))</f>
        <v>Serpentine</v>
      </c>
      <c r="S41" s="165"/>
      <c r="AA41" s="28" t="s">
        <v>21</v>
      </c>
      <c r="AB41" s="34" t="s">
        <v>22</v>
      </c>
      <c r="AC41" s="35" t="s">
        <v>23</v>
      </c>
      <c r="AD41" s="179" t="s">
        <v>40</v>
      </c>
      <c r="AE41" s="113" t="s">
        <v>24</v>
      </c>
      <c r="AF41" s="50" t="s">
        <v>30</v>
      </c>
      <c r="AG41" s="50" t="s">
        <v>23</v>
      </c>
      <c r="AH41" s="50" t="s">
        <v>25</v>
      </c>
      <c r="AI41" s="50" t="s">
        <v>25</v>
      </c>
      <c r="AJ41" s="50" t="s">
        <v>26</v>
      </c>
    </row>
    <row r="42" spans="2:36" x14ac:dyDescent="0.2">
      <c r="B42" s="14">
        <v>50</v>
      </c>
      <c r="C42" s="168" t="str">
        <f>IF(AE12&lt;1,"Partial Square",IF(AE12&lt;=10,"Bar",IF(AE12&gt;10,"Serpentine")))</f>
        <v>Bar</v>
      </c>
      <c r="D42" s="169"/>
      <c r="E42" s="67"/>
      <c r="F42" s="164" t="str">
        <f>IF(AE23&lt;1,"Partial Square",IF(AE23&lt;=10,"Bar",IF(AE23&gt;10,"Serpentine")))</f>
        <v>Partial Square</v>
      </c>
      <c r="G42" s="165"/>
      <c r="H42" s="68"/>
      <c r="I42" s="168" t="str">
        <f>IF(AE34&lt;1,"Partial Square",IF(AE34&lt;=10,"Bar",IF(AE34&gt;10,"Serpentine")))</f>
        <v>Partial Square</v>
      </c>
      <c r="J42" s="169"/>
      <c r="K42" s="68"/>
      <c r="L42" s="164" t="str">
        <f>IF(AE45&lt;1,"Partial Square",IF(AE45&lt;=10,"Bar",IF(AE45&gt;10,"Serpentine")))</f>
        <v>Partial Square</v>
      </c>
      <c r="M42" s="165"/>
      <c r="N42" s="68"/>
      <c r="O42" s="168" t="str">
        <f>IF(AE56&lt;1,"Partial Square",IF(AE56&lt;=10,"Bar",IF(AE56&gt;10,"Serpentine")))</f>
        <v>Serpentine</v>
      </c>
      <c r="P42" s="169"/>
      <c r="Q42" s="68"/>
      <c r="R42" s="164" t="str">
        <f>IF(AE67&lt;1,"Partial Square",IF(AE67&lt;=10,"Bar",IF(AE67&gt;10,"Serpentine")))</f>
        <v>Serpentine</v>
      </c>
      <c r="S42" s="165"/>
      <c r="AA42" s="1"/>
      <c r="AB42" s="36" t="s">
        <v>39</v>
      </c>
      <c r="AC42" s="37" t="s">
        <v>27</v>
      </c>
      <c r="AD42" s="180"/>
      <c r="AE42" s="114" t="s">
        <v>28</v>
      </c>
      <c r="AF42" s="51"/>
      <c r="AG42" s="51" t="s">
        <v>51</v>
      </c>
      <c r="AH42" s="51" t="s">
        <v>29</v>
      </c>
      <c r="AI42" s="51" t="s">
        <v>30</v>
      </c>
      <c r="AJ42" s="51" t="s">
        <v>31</v>
      </c>
    </row>
    <row r="43" spans="2:36" ht="15" thickBot="1" x14ac:dyDescent="0.25">
      <c r="B43" s="14">
        <v>100</v>
      </c>
      <c r="C43" s="168" t="str">
        <f>IF(AE13&lt;1,"Partial Square",IF(AE13&lt;=10,"Bar",IF(AE13&gt;10,"Serpentine")))</f>
        <v>Partial Square</v>
      </c>
      <c r="D43" s="169"/>
      <c r="E43" s="69"/>
      <c r="F43" s="164" t="str">
        <f>IF(AE24&lt;1,"Partial Square",IF(AE24&lt;=10,"Bar",IF(AE24&gt;10,"Serpentine")))</f>
        <v>Partial Square</v>
      </c>
      <c r="G43" s="165"/>
      <c r="H43" s="70"/>
      <c r="I43" s="168" t="str">
        <f>IF(AE35&lt;1,"Partial Square",IF(AE35&lt;=10,"Bar",IF(AE35&gt;10,"Serpentine")))</f>
        <v>Partial Square</v>
      </c>
      <c r="J43" s="169"/>
      <c r="K43" s="70"/>
      <c r="L43" s="164" t="str">
        <f>IF(AE46&lt;1,"Partial Square",IF(AE46&lt;=10,"Bar",IF(AE46&gt;10,"Serpentine")))</f>
        <v>Partial Square</v>
      </c>
      <c r="M43" s="165"/>
      <c r="N43" s="70"/>
      <c r="O43" s="168" t="str">
        <f>IF(AE57&lt;1,"Partial Square",IF(AE57&lt;=10,"Bar",IF(AE57&gt;10,"Serpentine")))</f>
        <v>Serpentine</v>
      </c>
      <c r="P43" s="169"/>
      <c r="Q43" s="70"/>
      <c r="R43" s="164" t="str">
        <f>IF(AE68&lt;1,"Partial Square",IF(AE68&lt;=10,"Bar",IF(AE68&gt;10,"Serpentine")))</f>
        <v>Serpentine</v>
      </c>
      <c r="S43" s="165"/>
      <c r="AA43" s="61"/>
      <c r="AB43" s="38" t="s">
        <v>32</v>
      </c>
      <c r="AC43" s="39" t="s">
        <v>33</v>
      </c>
      <c r="AD43" s="52" t="s">
        <v>34</v>
      </c>
      <c r="AE43" s="80"/>
      <c r="AF43" s="52" t="s">
        <v>75</v>
      </c>
      <c r="AG43" s="52" t="s">
        <v>52</v>
      </c>
      <c r="AH43" s="52" t="s">
        <v>35</v>
      </c>
      <c r="AI43" s="52" t="s">
        <v>35</v>
      </c>
      <c r="AJ43" s="52" t="s">
        <v>36</v>
      </c>
    </row>
    <row r="44" spans="2:36" ht="13.5" thickTop="1" x14ac:dyDescent="0.2">
      <c r="B44" s="14">
        <v>250</v>
      </c>
      <c r="C44" s="168" t="str">
        <f>IF(AE14&lt;1,"Partial Square",IF(AE14&lt;=10,"Bar",IF(AE14&gt;10,"Serpentine")))</f>
        <v>Partial Square</v>
      </c>
      <c r="D44" s="169"/>
      <c r="E44" s="69"/>
      <c r="F44" s="164" t="str">
        <f>IF(AE25&lt;1,"Partial Square",IF(AE25&lt;=10,"Bar",IF(AE25&gt;10,"Serpentine")))</f>
        <v>Partial Square</v>
      </c>
      <c r="G44" s="165"/>
      <c r="H44" s="70"/>
      <c r="I44" s="168" t="str">
        <f>IF(AE36&lt;1,"Partial Square",IF(AE36&lt;=10,"Bar",IF(AE36&gt;10,"Serpentine")))</f>
        <v>Partial Square</v>
      </c>
      <c r="J44" s="169"/>
      <c r="K44" s="70"/>
      <c r="L44" s="164" t="str">
        <f>IF(AE47&lt;1,"Partial Square",IF(AE47&lt;=10,"Bar",IF(AE47&gt;10,"Serpentine")))</f>
        <v>Partial Square</v>
      </c>
      <c r="M44" s="165"/>
      <c r="N44" s="70"/>
      <c r="O44" s="168" t="str">
        <f>IF(AE58&lt;1,"Partial Square",IF(AE58&lt;=10,"Bar",IF(AE58&gt;10,"Serpentine")))</f>
        <v>Serpentine</v>
      </c>
      <c r="P44" s="169"/>
      <c r="Q44" s="70"/>
      <c r="R44" s="164" t="str">
        <f>IF(AE69&lt;1,"Partial Square",IF(AE69&lt;=10,"Bar",IF(AE69&gt;10,"Serpentine")))</f>
        <v>Serpentine</v>
      </c>
      <c r="S44" s="165"/>
      <c r="AA44" s="29">
        <v>1</v>
      </c>
      <c r="AB44" s="40">
        <v>25</v>
      </c>
      <c r="AC44" s="40">
        <f>6.407*POWER(AD44, -0.5478)</f>
        <v>0.24057265476383166</v>
      </c>
      <c r="AD44" s="81">
        <f>AF44*$L$12</f>
        <v>400</v>
      </c>
      <c r="AE44" s="53">
        <f>AF44/$L$12</f>
        <v>1</v>
      </c>
      <c r="AF44" s="54">
        <f>$L$11/AB44*$L$12</f>
        <v>20</v>
      </c>
      <c r="AG44" s="53">
        <f>AC44*AD44</f>
        <v>96.22906190553266</v>
      </c>
      <c r="AH44" s="55">
        <f>SQRT(AD44/AE44)</f>
        <v>20</v>
      </c>
      <c r="AI44" s="56">
        <f>(AH44*AE44)</f>
        <v>20</v>
      </c>
      <c r="AJ44" s="57">
        <f>(($AC$2/AH44)+($AC$3/AI44))*100+5</f>
        <v>10</v>
      </c>
    </row>
    <row r="45" spans="2:36" x14ac:dyDescent="0.2">
      <c r="B45" s="14">
        <v>1000</v>
      </c>
      <c r="C45" s="168" t="str">
        <f>IF(AE15&lt;1,"Partial Square",IF(AE15&lt;=10,"Bar",IF(AE15&gt;10,"Serpentine")))</f>
        <v>Partial Square</v>
      </c>
      <c r="D45" s="169"/>
      <c r="E45" s="69"/>
      <c r="F45" s="164" t="str">
        <f>IF(AE26&lt;1,"Partial Square",IF(AE26&lt;=10,"Bar",IF(AE26&gt;10,"Serpentine")))</f>
        <v>Partial Square</v>
      </c>
      <c r="G45" s="165"/>
      <c r="H45" s="70"/>
      <c r="I45" s="168" t="str">
        <f>IF(AE37&lt;1,"Partial Square",IF(AE37&lt;=10,"Bar",IF(AE37&gt;10,"Serpentine")))</f>
        <v>Partial Square</v>
      </c>
      <c r="J45" s="169"/>
      <c r="K45" s="70"/>
      <c r="L45" s="164" t="str">
        <f>IF(AE48&lt;1,"Partial Square",IF(AE48&lt;=10,"Bar",IF(AE48&gt;10,"Serpentine")))</f>
        <v>Partial Square</v>
      </c>
      <c r="M45" s="165"/>
      <c r="N45" s="70"/>
      <c r="O45" s="168" t="str">
        <f>IF(AE59&lt;1,"Partial Square",IF(AE59&lt;=10,"Bar",IF(AE59&gt;10,"Serpentine")))</f>
        <v>Bar</v>
      </c>
      <c r="P45" s="169"/>
      <c r="Q45" s="70"/>
      <c r="R45" s="164" t="str">
        <f>IF(AE70&lt;1,"Partial Square",IF(AE70&lt;=10,"Bar",IF(AE70&gt;10,"Serpentine")))</f>
        <v>Bar</v>
      </c>
      <c r="S45" s="165"/>
      <c r="AA45" s="29">
        <v>2</v>
      </c>
      <c r="AB45" s="40">
        <v>50</v>
      </c>
      <c r="AC45" s="40">
        <f>5.126*POWER(AD45, -0.5478)</f>
        <v>0.28136778403428464</v>
      </c>
      <c r="AD45" s="81">
        <f>AF45*$L$12</f>
        <v>200</v>
      </c>
      <c r="AE45" s="53">
        <f>AF45/$L$12</f>
        <v>0.5</v>
      </c>
      <c r="AF45" s="54">
        <f>$L$11/AB45*$L$12</f>
        <v>10</v>
      </c>
      <c r="AG45" s="53">
        <f>AC45*AD45</f>
        <v>56.273556806856931</v>
      </c>
      <c r="AH45" s="55">
        <f>SQRT(AD45/AE45)</f>
        <v>20</v>
      </c>
      <c r="AI45" s="56">
        <f>(AH45*AE45)</f>
        <v>10</v>
      </c>
      <c r="AJ45" s="57">
        <f>(($AC$2/AH45)+($AC$3/AI45))*100+5</f>
        <v>12.5</v>
      </c>
    </row>
    <row r="46" spans="2:36" x14ac:dyDescent="0.2">
      <c r="AA46" s="29">
        <v>3</v>
      </c>
      <c r="AB46" s="40">
        <v>100</v>
      </c>
      <c r="AC46" s="40">
        <f>3.844*POWER(AD46, -0.5478)</f>
        <v>0.3084490088130199</v>
      </c>
      <c r="AD46" s="81">
        <f>AF46*$L$12</f>
        <v>100</v>
      </c>
      <c r="AE46" s="53">
        <f>AF46/$L$12</f>
        <v>0.25</v>
      </c>
      <c r="AF46" s="54">
        <f>$L$11/AB46*$L$12</f>
        <v>5</v>
      </c>
      <c r="AG46" s="53">
        <f>AC46*AD46</f>
        <v>30.844900881301989</v>
      </c>
      <c r="AH46" s="55">
        <f>SQRT(AD46/AE46)</f>
        <v>20</v>
      </c>
      <c r="AI46" s="56">
        <f>(AH46*AE46)</f>
        <v>5</v>
      </c>
      <c r="AJ46" s="57">
        <f>(($AC$2/AH46)+($AC$3/AI46))*100+5</f>
        <v>17.5</v>
      </c>
    </row>
    <row r="47" spans="2:36" x14ac:dyDescent="0.2">
      <c r="AA47" s="29">
        <v>4</v>
      </c>
      <c r="AB47" s="40">
        <v>250</v>
      </c>
      <c r="AC47" s="40">
        <f>3.844*POWER(AD47, -0.5478)</f>
        <v>0.50953604965558663</v>
      </c>
      <c r="AD47" s="81">
        <f>AF47*$L$12</f>
        <v>40</v>
      </c>
      <c r="AE47" s="53">
        <f>AF47/$L$12</f>
        <v>0.1</v>
      </c>
      <c r="AF47" s="54">
        <f>$L$11/AB47*$L$12</f>
        <v>2</v>
      </c>
      <c r="AG47" s="53">
        <f>AC47*AD47</f>
        <v>20.381441986223464</v>
      </c>
      <c r="AH47" s="55">
        <f>SQRT(AD47/AE47)</f>
        <v>20</v>
      </c>
      <c r="AI47" s="56">
        <f>(AH47*AE47)</f>
        <v>2</v>
      </c>
      <c r="AJ47" s="57">
        <f>(($AC$2/AH47)+($AC$3/AI47))*100+5</f>
        <v>32.5</v>
      </c>
    </row>
    <row r="48" spans="2:36" ht="13.5" thickBot="1" x14ac:dyDescent="0.25">
      <c r="AA48" s="29">
        <v>5</v>
      </c>
      <c r="AB48" s="40">
        <v>1000</v>
      </c>
      <c r="AC48" s="40">
        <f>6.047*POWER(AD48, -0.5478)</f>
        <v>1.7129313923098599</v>
      </c>
      <c r="AD48" s="81">
        <f>AF48*$L$12</f>
        <v>10</v>
      </c>
      <c r="AE48" s="53">
        <f>AF48/$L$12</f>
        <v>2.5000000000000001E-2</v>
      </c>
      <c r="AF48" s="54">
        <f>$L$11/AB48*$L$12</f>
        <v>0.5</v>
      </c>
      <c r="AG48" s="53">
        <f>AC48*AD48</f>
        <v>17.1293139230986</v>
      </c>
      <c r="AH48" s="55">
        <f>SQRT(AD48/AE48)</f>
        <v>20</v>
      </c>
      <c r="AI48" s="56">
        <f>(AH48*AE48)</f>
        <v>0.5</v>
      </c>
      <c r="AJ48" s="57">
        <f>(($AC$2/AH48)+($AC$3/AI48))*100+5</f>
        <v>107.49999999999999</v>
      </c>
    </row>
    <row r="49" spans="27:36" ht="13.5" thickBot="1" x14ac:dyDescent="0.25">
      <c r="AA49" s="58" t="s">
        <v>4</v>
      </c>
      <c r="AB49" s="2"/>
      <c r="AC49" s="2"/>
      <c r="AD49" s="2"/>
      <c r="AE49" s="111"/>
      <c r="AH49" s="2"/>
      <c r="AI49" s="2"/>
      <c r="AJ49" s="2"/>
    </row>
    <row r="50" spans="27:36" x14ac:dyDescent="0.2">
      <c r="AA50" s="27"/>
      <c r="AB50" s="30"/>
      <c r="AC50" s="30"/>
      <c r="AD50" s="42"/>
      <c r="AE50" s="112"/>
      <c r="AF50" s="43"/>
      <c r="AG50" s="44"/>
      <c r="AH50" s="42"/>
      <c r="AI50" s="42"/>
      <c r="AJ50" s="45"/>
    </row>
    <row r="51" spans="27:36" ht="14.25" x14ac:dyDescent="0.25">
      <c r="AA51" s="60"/>
      <c r="AB51" s="31" t="s">
        <v>18</v>
      </c>
      <c r="AC51" s="32" t="s">
        <v>19</v>
      </c>
      <c r="AD51" s="82" t="s">
        <v>38</v>
      </c>
      <c r="AE51" s="46" t="s">
        <v>41</v>
      </c>
      <c r="AF51" s="47" t="s">
        <v>73</v>
      </c>
      <c r="AG51" s="48" t="s">
        <v>50</v>
      </c>
      <c r="AH51" s="49" t="s">
        <v>42</v>
      </c>
      <c r="AI51" s="49" t="s">
        <v>43</v>
      </c>
      <c r="AJ51" s="49" t="s">
        <v>20</v>
      </c>
    </row>
    <row r="52" spans="27:36" x14ac:dyDescent="0.2">
      <c r="AA52" s="28" t="s">
        <v>21</v>
      </c>
      <c r="AB52" s="34" t="s">
        <v>22</v>
      </c>
      <c r="AC52" s="35" t="s">
        <v>23</v>
      </c>
      <c r="AD52" s="179" t="s">
        <v>40</v>
      </c>
      <c r="AE52" s="113" t="s">
        <v>24</v>
      </c>
      <c r="AF52" s="50" t="s">
        <v>30</v>
      </c>
      <c r="AG52" s="50" t="s">
        <v>23</v>
      </c>
      <c r="AH52" s="50" t="s">
        <v>25</v>
      </c>
      <c r="AI52" s="50" t="s">
        <v>25</v>
      </c>
      <c r="AJ52" s="50" t="s">
        <v>26</v>
      </c>
    </row>
    <row r="53" spans="27:36" x14ac:dyDescent="0.2">
      <c r="AA53" s="1"/>
      <c r="AB53" s="36" t="s">
        <v>39</v>
      </c>
      <c r="AC53" s="37" t="s">
        <v>27</v>
      </c>
      <c r="AD53" s="180"/>
      <c r="AE53" s="114" t="s">
        <v>28</v>
      </c>
      <c r="AF53" s="51"/>
      <c r="AG53" s="51" t="s">
        <v>51</v>
      </c>
      <c r="AH53" s="51" t="s">
        <v>29</v>
      </c>
      <c r="AI53" s="51" t="s">
        <v>30</v>
      </c>
      <c r="AJ53" s="51" t="s">
        <v>31</v>
      </c>
    </row>
    <row r="54" spans="27:36" ht="21" customHeight="1" thickBot="1" x14ac:dyDescent="0.25">
      <c r="AA54" s="61"/>
      <c r="AB54" s="38" t="s">
        <v>32</v>
      </c>
      <c r="AC54" s="39" t="s">
        <v>33</v>
      </c>
      <c r="AD54" s="52" t="s">
        <v>34</v>
      </c>
      <c r="AE54" s="80"/>
      <c r="AF54" s="52" t="s">
        <v>75</v>
      </c>
      <c r="AG54" s="52" t="s">
        <v>52</v>
      </c>
      <c r="AH54" s="52" t="s">
        <v>35</v>
      </c>
      <c r="AI54" s="52" t="s">
        <v>35</v>
      </c>
      <c r="AJ54" s="52" t="s">
        <v>36</v>
      </c>
    </row>
    <row r="55" spans="27:36" ht="13.5" thickTop="1" x14ac:dyDescent="0.2">
      <c r="AA55" s="29">
        <v>1</v>
      </c>
      <c r="AB55" s="40">
        <v>25</v>
      </c>
      <c r="AC55" s="40">
        <f>6.407*POWER(AD55, -0.5478)</f>
        <v>1.809776351475258E-2</v>
      </c>
      <c r="AD55" s="81">
        <f>AF55*$O$12</f>
        <v>45000</v>
      </c>
      <c r="AE55" s="53">
        <f>AF55/$O$12</f>
        <v>200</v>
      </c>
      <c r="AF55" s="54">
        <f>$O$11/AB55*$O$12</f>
        <v>3000</v>
      </c>
      <c r="AG55" s="53">
        <f>AC55*AD55</f>
        <v>814.39935816386605</v>
      </c>
      <c r="AH55" s="55">
        <f>SQRT(AD55/AE55)</f>
        <v>15</v>
      </c>
      <c r="AI55" s="56">
        <f>(AH55*AE55)</f>
        <v>3000</v>
      </c>
      <c r="AJ55" s="57">
        <f>(($AC$2/AH55)+($AC$3/AI55))*100+5</f>
        <v>8.35</v>
      </c>
    </row>
    <row r="56" spans="27:36" x14ac:dyDescent="0.2">
      <c r="AA56" s="29">
        <v>2</v>
      </c>
      <c r="AB56" s="40">
        <v>50</v>
      </c>
      <c r="AC56" s="40">
        <f>5.126*POWER(AD56, -0.5478)</f>
        <v>2.1166693368044526E-2</v>
      </c>
      <c r="AD56" s="81">
        <f>AF56*$O$12</f>
        <v>22500</v>
      </c>
      <c r="AE56" s="53">
        <f>AF56/$O$12</f>
        <v>100</v>
      </c>
      <c r="AF56" s="54">
        <f>$O$11/AB56*$O$12</f>
        <v>1500</v>
      </c>
      <c r="AG56" s="53">
        <f>AC56*AD56</f>
        <v>476.25060078100182</v>
      </c>
      <c r="AH56" s="55">
        <f>SQRT(AD56/AE56)</f>
        <v>15</v>
      </c>
      <c r="AI56" s="56">
        <f>(AH56*AE56)</f>
        <v>1500</v>
      </c>
      <c r="AJ56" s="57">
        <f>(($AC$2/AH56)+($AC$3/AI56))*100+5</f>
        <v>8.3666666666666671</v>
      </c>
    </row>
    <row r="57" spans="27:36" x14ac:dyDescent="0.2">
      <c r="AA57" s="29">
        <v>3</v>
      </c>
      <c r="AB57" s="40">
        <v>100</v>
      </c>
      <c r="AC57" s="40">
        <f>3.844*POWER(AD57, -0.5478)</f>
        <v>2.3203955675419184E-2</v>
      </c>
      <c r="AD57" s="81">
        <f>AF57*$O$12</f>
        <v>11250</v>
      </c>
      <c r="AE57" s="53">
        <f>AF57/$O$12</f>
        <v>50</v>
      </c>
      <c r="AF57" s="54">
        <f>$O$11/AB57*$O$12</f>
        <v>750</v>
      </c>
      <c r="AG57" s="53">
        <f>AC57*AD57</f>
        <v>261.04450134846581</v>
      </c>
      <c r="AH57" s="55">
        <f>SQRT(AD57/AE57)</f>
        <v>15</v>
      </c>
      <c r="AI57" s="56">
        <f>(AH57*AE57)</f>
        <v>750</v>
      </c>
      <c r="AJ57" s="57">
        <f>(($AC$2/AH57)+($AC$3/AI57))*100+5</f>
        <v>8.4</v>
      </c>
    </row>
    <row r="58" spans="27:36" x14ac:dyDescent="0.2">
      <c r="AA58" s="29">
        <v>4</v>
      </c>
      <c r="AB58" s="40">
        <v>250</v>
      </c>
      <c r="AC58" s="40">
        <f>3.844*POWER(AD58, -0.5478)</f>
        <v>3.8331301360749706E-2</v>
      </c>
      <c r="AD58" s="81">
        <f>AF58*$O$12</f>
        <v>4500</v>
      </c>
      <c r="AE58" s="53">
        <f>AF58/$O$12</f>
        <v>20</v>
      </c>
      <c r="AF58" s="54">
        <f>$O$11/AB58*$O$12</f>
        <v>300</v>
      </c>
      <c r="AG58" s="53">
        <f>AC58*AD58</f>
        <v>172.49085612337367</v>
      </c>
      <c r="AH58" s="55">
        <f>SQRT(AD58/AE58)</f>
        <v>15</v>
      </c>
      <c r="AI58" s="56">
        <f>(AH58*AE58)</f>
        <v>300</v>
      </c>
      <c r="AJ58" s="57">
        <f>(($AC$2/AH58)+($AC$3/AI58))*100+5</f>
        <v>8.5</v>
      </c>
    </row>
    <row r="59" spans="27:36" ht="13.5" thickBot="1" x14ac:dyDescent="0.25">
      <c r="AA59" s="29">
        <v>5</v>
      </c>
      <c r="AB59" s="40">
        <v>1000</v>
      </c>
      <c r="AC59" s="40">
        <f>6.047*POWER(AD59, -0.5478)</f>
        <v>0.1288601453288713</v>
      </c>
      <c r="AD59" s="81">
        <f>AF59*$O$12</f>
        <v>1125</v>
      </c>
      <c r="AE59" s="53">
        <f>AF59/$O$12</f>
        <v>5</v>
      </c>
      <c r="AF59" s="54">
        <f>$O$11/AB59*$O$12</f>
        <v>75</v>
      </c>
      <c r="AG59" s="53">
        <f>AC59*AD59</f>
        <v>144.9676634949802</v>
      </c>
      <c r="AH59" s="55">
        <f>SQRT(AD59/AE59)</f>
        <v>15</v>
      </c>
      <c r="AI59" s="56">
        <f>(AH59*AE59)</f>
        <v>75</v>
      </c>
      <c r="AJ59" s="57">
        <f>(($AC$2/AH59)+($AC$3/AI59))*100+5</f>
        <v>9</v>
      </c>
    </row>
    <row r="60" spans="27:36" ht="13.5" thickBot="1" x14ac:dyDescent="0.25">
      <c r="AA60" s="59" t="s">
        <v>5</v>
      </c>
      <c r="AB60" s="2"/>
      <c r="AC60" s="2"/>
      <c r="AD60" s="2"/>
      <c r="AE60" s="111"/>
      <c r="AH60" s="2"/>
      <c r="AI60" s="2"/>
      <c r="AJ60" s="2"/>
    </row>
    <row r="61" spans="27:36" x14ac:dyDescent="0.2">
      <c r="AA61" s="27"/>
      <c r="AB61" s="30"/>
      <c r="AC61" s="30"/>
      <c r="AD61" s="42"/>
      <c r="AE61" s="112"/>
      <c r="AF61" s="43"/>
      <c r="AG61" s="44"/>
      <c r="AH61" s="42"/>
      <c r="AI61" s="42"/>
      <c r="AJ61" s="45"/>
    </row>
    <row r="62" spans="27:36" ht="14.25" x14ac:dyDescent="0.25">
      <c r="AA62" s="60"/>
      <c r="AB62" s="31" t="s">
        <v>18</v>
      </c>
      <c r="AC62" s="32" t="s">
        <v>19</v>
      </c>
      <c r="AD62" s="82" t="s">
        <v>38</v>
      </c>
      <c r="AE62" s="46" t="s">
        <v>41</v>
      </c>
      <c r="AF62" s="47" t="s">
        <v>73</v>
      </c>
      <c r="AG62" s="48" t="s">
        <v>50</v>
      </c>
      <c r="AH62" s="49" t="s">
        <v>42</v>
      </c>
      <c r="AI62" s="49" t="s">
        <v>43</v>
      </c>
      <c r="AJ62" s="49" t="s">
        <v>20</v>
      </c>
    </row>
    <row r="63" spans="27:36" x14ac:dyDescent="0.2">
      <c r="AA63" s="28" t="s">
        <v>21</v>
      </c>
      <c r="AB63" s="34" t="s">
        <v>22</v>
      </c>
      <c r="AC63" s="35" t="s">
        <v>23</v>
      </c>
      <c r="AD63" s="179" t="s">
        <v>40</v>
      </c>
      <c r="AE63" s="113" t="s">
        <v>24</v>
      </c>
      <c r="AF63" s="50" t="s">
        <v>30</v>
      </c>
      <c r="AG63" s="50" t="s">
        <v>23</v>
      </c>
      <c r="AH63" s="50" t="s">
        <v>25</v>
      </c>
      <c r="AI63" s="50" t="s">
        <v>25</v>
      </c>
      <c r="AJ63" s="50" t="s">
        <v>26</v>
      </c>
    </row>
    <row r="64" spans="27:36" x14ac:dyDescent="0.2">
      <c r="AA64" s="1"/>
      <c r="AB64" s="36" t="s">
        <v>39</v>
      </c>
      <c r="AC64" s="37" t="s">
        <v>27</v>
      </c>
      <c r="AD64" s="180"/>
      <c r="AE64" s="114" t="s">
        <v>28</v>
      </c>
      <c r="AF64" s="51"/>
      <c r="AG64" s="51" t="s">
        <v>51</v>
      </c>
      <c r="AH64" s="51" t="s">
        <v>29</v>
      </c>
      <c r="AI64" s="51" t="s">
        <v>30</v>
      </c>
      <c r="AJ64" s="51" t="s">
        <v>31</v>
      </c>
    </row>
    <row r="65" spans="27:36" ht="15" thickBot="1" x14ac:dyDescent="0.25">
      <c r="AA65" s="61"/>
      <c r="AB65" s="38" t="s">
        <v>32</v>
      </c>
      <c r="AC65" s="39" t="s">
        <v>33</v>
      </c>
      <c r="AD65" s="52" t="s">
        <v>34</v>
      </c>
      <c r="AE65" s="80"/>
      <c r="AF65" s="52" t="s">
        <v>75</v>
      </c>
      <c r="AG65" s="52" t="s">
        <v>52</v>
      </c>
      <c r="AH65" s="52" t="s">
        <v>35</v>
      </c>
      <c r="AI65" s="52" t="s">
        <v>35</v>
      </c>
      <c r="AJ65" s="52" t="s">
        <v>36</v>
      </c>
    </row>
    <row r="66" spans="27:36" ht="13.5" thickTop="1" x14ac:dyDescent="0.2">
      <c r="AA66" s="29">
        <v>1</v>
      </c>
      <c r="AB66" s="40">
        <v>25</v>
      </c>
      <c r="AC66" s="40">
        <f>6.407*POWER(AD66, -0.5478)</f>
        <v>1.2380000930347605E-2</v>
      </c>
      <c r="AD66" s="81">
        <f>AF66*$R$12</f>
        <v>90000</v>
      </c>
      <c r="AE66" s="53">
        <f>AF66/$R$12</f>
        <v>400</v>
      </c>
      <c r="AF66" s="54">
        <f>$R$11/AB66*$R$12</f>
        <v>6000</v>
      </c>
      <c r="AG66" s="53">
        <f>AC66*AD66</f>
        <v>1114.2000837312844</v>
      </c>
      <c r="AH66" s="55">
        <f>SQRT(AD66/AE66)</f>
        <v>15</v>
      </c>
      <c r="AI66" s="56">
        <f>(AH66*AE66)</f>
        <v>6000</v>
      </c>
      <c r="AJ66" s="57">
        <f>(($AC$2/AH66)+($AC$3/AI66))*100+5</f>
        <v>8.3416666666666668</v>
      </c>
    </row>
    <row r="67" spans="27:36" x14ac:dyDescent="0.2">
      <c r="AA67" s="29">
        <v>2</v>
      </c>
      <c r="AB67" s="40">
        <v>50</v>
      </c>
      <c r="AC67" s="40">
        <f>5.126*POWER(AD67, -0.5478)</f>
        <v>1.447934068622159E-2</v>
      </c>
      <c r="AD67" s="81">
        <f>AF67*$R$12</f>
        <v>45000</v>
      </c>
      <c r="AE67" s="53">
        <f>AF67/$R$12</f>
        <v>200</v>
      </c>
      <c r="AF67" s="54">
        <f>$R$11/AB67*$R$12</f>
        <v>3000</v>
      </c>
      <c r="AG67" s="53">
        <f>AC67*AD67</f>
        <v>651.57033087997161</v>
      </c>
      <c r="AH67" s="55">
        <f>SQRT(AD67/AE67)</f>
        <v>15</v>
      </c>
      <c r="AI67" s="56">
        <f>(AH67*AE67)</f>
        <v>3000</v>
      </c>
      <c r="AJ67" s="57">
        <f>(($AC$2/AH67)+($AC$3/AI67))*100+5</f>
        <v>8.35</v>
      </c>
    </row>
    <row r="68" spans="27:36" x14ac:dyDescent="0.2">
      <c r="AA68" s="29">
        <v>3</v>
      </c>
      <c r="AB68" s="40">
        <v>100</v>
      </c>
      <c r="AC68" s="40">
        <f>3.844*POWER(AD68, -0.5478)</f>
        <v>1.5872955385634636E-2</v>
      </c>
      <c r="AD68" s="81">
        <f>AF68*$R$12</f>
        <v>22500</v>
      </c>
      <c r="AE68" s="53">
        <f>AF68/$R$12</f>
        <v>100</v>
      </c>
      <c r="AF68" s="54">
        <f>$R$11/AB68*$R$12</f>
        <v>1500</v>
      </c>
      <c r="AG68" s="53">
        <f>AC68*AD68</f>
        <v>357.1414961767793</v>
      </c>
      <c r="AH68" s="55">
        <f>SQRT(AD68/AE68)</f>
        <v>15</v>
      </c>
      <c r="AI68" s="56">
        <f>(AH68*AE68)</f>
        <v>1500</v>
      </c>
      <c r="AJ68" s="57">
        <f>(($AC$2/AH68)+($AC$3/AI68))*100+5</f>
        <v>8.3666666666666671</v>
      </c>
    </row>
    <row r="69" spans="27:36" x14ac:dyDescent="0.2">
      <c r="AA69" s="29">
        <v>4</v>
      </c>
      <c r="AB69" s="40">
        <v>250</v>
      </c>
      <c r="AC69" s="40">
        <f>3.844*POWER(AD69, -0.5478)</f>
        <v>2.6221004939128986E-2</v>
      </c>
      <c r="AD69" s="81">
        <f>AF69*$R$12</f>
        <v>9000</v>
      </c>
      <c r="AE69" s="53">
        <f>AF69/$R$12</f>
        <v>40</v>
      </c>
      <c r="AF69" s="54">
        <f>$R$11/AB69*$R$12</f>
        <v>600</v>
      </c>
      <c r="AG69" s="53">
        <f>AC69*AD69</f>
        <v>235.98904445216087</v>
      </c>
      <c r="AH69" s="55">
        <f>SQRT(AD69/AE69)</f>
        <v>15</v>
      </c>
      <c r="AI69" s="56">
        <f>(AH69*AE69)</f>
        <v>600</v>
      </c>
      <c r="AJ69" s="57">
        <f>(($AC$2/AH69)+($AC$3/AI69))*100+5</f>
        <v>8.4166666666666661</v>
      </c>
    </row>
    <row r="70" spans="27:36" x14ac:dyDescent="0.2">
      <c r="AA70" s="29">
        <v>5</v>
      </c>
      <c r="AB70" s="40">
        <v>1000</v>
      </c>
      <c r="AC70" s="40">
        <f>6.047*POWER(AD70, -0.5478)</f>
        <v>8.8148390145320277E-2</v>
      </c>
      <c r="AD70" s="81">
        <f>AF70*$R$12</f>
        <v>2250</v>
      </c>
      <c r="AE70" s="53">
        <f>AF70/$R$12</f>
        <v>10</v>
      </c>
      <c r="AF70" s="54">
        <f>$R$11/AB70*$R$12</f>
        <v>150</v>
      </c>
      <c r="AG70" s="53">
        <f>AC70*AD70</f>
        <v>198.33387782697062</v>
      </c>
      <c r="AH70" s="55">
        <f>SQRT(AD70/AE70)</f>
        <v>15</v>
      </c>
      <c r="AI70" s="56">
        <f>(AH70*AE70)</f>
        <v>150</v>
      </c>
      <c r="AJ70" s="57">
        <f>(($AC$2/AH70)+($AC$3/AI70))*100+5</f>
        <v>8.6666666666666661</v>
      </c>
    </row>
  </sheetData>
  <sheetProtection password="CADF" sheet="1" objects="1" scenarios="1" selectLockedCells="1"/>
  <mergeCells count="83">
    <mergeCell ref="AD8:AD9"/>
    <mergeCell ref="B9:S9"/>
    <mergeCell ref="I10:J10"/>
    <mergeCell ref="L10:M10"/>
    <mergeCell ref="A1:T1"/>
    <mergeCell ref="B7:C7"/>
    <mergeCell ref="O10:P10"/>
    <mergeCell ref="R10:S10"/>
    <mergeCell ref="C10:D10"/>
    <mergeCell ref="F10:G10"/>
    <mergeCell ref="A2:T2"/>
    <mergeCell ref="F11:G11"/>
    <mergeCell ref="O12:P12"/>
    <mergeCell ref="R12:S12"/>
    <mergeCell ref="C12:D12"/>
    <mergeCell ref="F12:G12"/>
    <mergeCell ref="I11:J11"/>
    <mergeCell ref="L11:M11"/>
    <mergeCell ref="I12:J12"/>
    <mergeCell ref="L12:M12"/>
    <mergeCell ref="F40:G40"/>
    <mergeCell ref="I40:J40"/>
    <mergeCell ref="L40:M40"/>
    <mergeCell ref="O40:P40"/>
    <mergeCell ref="AD19:AD20"/>
    <mergeCell ref="B22:B23"/>
    <mergeCell ref="B21:S21"/>
    <mergeCell ref="C22:E22"/>
    <mergeCell ref="R22:T22"/>
    <mergeCell ref="L42:M42"/>
    <mergeCell ref="O42:P42"/>
    <mergeCell ref="R42:S42"/>
    <mergeCell ref="C41:D41"/>
    <mergeCell ref="AD30:AD31"/>
    <mergeCell ref="I41:J41"/>
    <mergeCell ref="L41:M41"/>
    <mergeCell ref="B37:S37"/>
    <mergeCell ref="B38:B39"/>
    <mergeCell ref="C40:D40"/>
    <mergeCell ref="L43:M43"/>
    <mergeCell ref="C44:D44"/>
    <mergeCell ref="F44:G44"/>
    <mergeCell ref="I44:J44"/>
    <mergeCell ref="R40:S40"/>
    <mergeCell ref="O41:P41"/>
    <mergeCell ref="R41:S41"/>
    <mergeCell ref="C42:D42"/>
    <mergeCell ref="F42:G42"/>
    <mergeCell ref="I42:J42"/>
    <mergeCell ref="AD52:AD53"/>
    <mergeCell ref="AD63:AD64"/>
    <mergeCell ref="O43:P43"/>
    <mergeCell ref="R43:S43"/>
    <mergeCell ref="O45:P45"/>
    <mergeCell ref="R45:S45"/>
    <mergeCell ref="O44:P44"/>
    <mergeCell ref="R44:S44"/>
    <mergeCell ref="C45:D45"/>
    <mergeCell ref="F45:G45"/>
    <mergeCell ref="I45:J45"/>
    <mergeCell ref="L45:M45"/>
    <mergeCell ref="L44:M44"/>
    <mergeCell ref="AD41:AD42"/>
    <mergeCell ref="F41:G41"/>
    <mergeCell ref="C43:D43"/>
    <mergeCell ref="F43:G43"/>
    <mergeCell ref="I43:J43"/>
    <mergeCell ref="AC1:AD1"/>
    <mergeCell ref="AA3:AB3"/>
    <mergeCell ref="AA2:AB2"/>
    <mergeCell ref="AA1:AB1"/>
    <mergeCell ref="AC2:AD2"/>
    <mergeCell ref="AC3:AD3"/>
    <mergeCell ref="A16:T16"/>
    <mergeCell ref="A4:S4"/>
    <mergeCell ref="F22:H22"/>
    <mergeCell ref="I22:K22"/>
    <mergeCell ref="L22:N22"/>
    <mergeCell ref="O22:Q22"/>
    <mergeCell ref="H14:P14"/>
    <mergeCell ref="O11:P11"/>
    <mergeCell ref="R11:S11"/>
    <mergeCell ref="C11:D11"/>
  </mergeCells>
  <phoneticPr fontId="0" type="noConversion"/>
  <pageMargins left="0.75" right="0.75" top="1" bottom="1" header="0.5" footer="0.5"/>
  <pageSetup scale="78" fitToWidth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J70"/>
  <sheetViews>
    <sheetView showGridLines="0" workbookViewId="0">
      <selection activeCell="C11" sqref="C11:D11"/>
    </sheetView>
  </sheetViews>
  <sheetFormatPr defaultRowHeight="12.75" x14ac:dyDescent="0.2"/>
  <cols>
    <col min="1" max="1" width="2.140625" customWidth="1"/>
    <col min="2" max="2" width="23.85546875" customWidth="1"/>
    <col min="3" max="4" width="9.7109375" customWidth="1"/>
    <col min="5" max="5" width="4.7109375" customWidth="1"/>
    <col min="6" max="7" width="9.7109375" customWidth="1"/>
    <col min="8" max="8" width="4.7109375" customWidth="1"/>
    <col min="9" max="10" width="9.7109375" customWidth="1"/>
    <col min="11" max="11" width="4.7109375" customWidth="1"/>
    <col min="12" max="13" width="9.7109375" customWidth="1"/>
    <col min="14" max="14" width="4.7109375" customWidth="1"/>
    <col min="15" max="16" width="9.7109375" customWidth="1"/>
    <col min="17" max="17" width="4.7109375" customWidth="1"/>
    <col min="18" max="19" width="9.7109375" customWidth="1"/>
    <col min="20" max="20" width="4.7109375" customWidth="1"/>
    <col min="21" max="25" width="1.5703125" customWidth="1"/>
    <col min="26" max="26" width="56.85546875" customWidth="1"/>
    <col min="27" max="27" width="10.28515625" customWidth="1"/>
    <col min="28" max="28" width="10.85546875" bestFit="1" customWidth="1"/>
    <col min="33" max="33" width="10.140625" bestFit="1" customWidth="1"/>
  </cols>
  <sheetData>
    <row r="1" spans="1:36" ht="16.5" thickBot="1" x14ac:dyDescent="0.3">
      <c r="A1" s="150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AA1" s="174"/>
      <c r="AB1" s="174"/>
      <c r="AC1" s="142" t="s">
        <v>131</v>
      </c>
      <c r="AD1" s="143"/>
    </row>
    <row r="2" spans="1:36" ht="15.75" x14ac:dyDescent="0.25">
      <c r="A2" s="152" t="s">
        <v>140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16"/>
      <c r="AA2" s="173" t="s">
        <v>117</v>
      </c>
      <c r="AB2" s="173"/>
      <c r="AC2" s="175">
        <v>0.5</v>
      </c>
      <c r="AD2" s="176"/>
    </row>
    <row r="3" spans="1:36" ht="15.75" x14ac:dyDescent="0.25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AA3" s="173" t="s">
        <v>118</v>
      </c>
      <c r="AB3" s="173"/>
      <c r="AC3" s="177">
        <v>0.5</v>
      </c>
      <c r="AD3" s="178"/>
    </row>
    <row r="4" spans="1:36" ht="13.5" thickBot="1" x14ac:dyDescent="0.25">
      <c r="A4" s="119" t="s">
        <v>124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36" ht="13.5" thickBot="1" x14ac:dyDescent="0.25">
      <c r="AA5" s="58" t="s">
        <v>0</v>
      </c>
      <c r="AB5" s="2"/>
      <c r="AC5" s="2"/>
      <c r="AD5" s="2"/>
      <c r="AE5" s="2"/>
      <c r="AH5" s="2"/>
      <c r="AI5" s="2"/>
      <c r="AJ5" s="2"/>
    </row>
    <row r="6" spans="1:36" x14ac:dyDescent="0.2">
      <c r="B6" t="s">
        <v>71</v>
      </c>
      <c r="AA6" s="27"/>
      <c r="AB6" s="30"/>
      <c r="AC6" s="30"/>
      <c r="AD6" s="79"/>
      <c r="AE6" s="42"/>
      <c r="AF6" s="43"/>
      <c r="AG6" s="44"/>
      <c r="AH6" s="42"/>
      <c r="AI6" s="42"/>
      <c r="AJ6" s="45"/>
    </row>
    <row r="7" spans="1:36" ht="14.25" x14ac:dyDescent="0.25">
      <c r="B7" s="170" t="s">
        <v>82</v>
      </c>
      <c r="C7" s="170"/>
      <c r="AA7" s="60"/>
      <c r="AB7" s="31" t="s">
        <v>37</v>
      </c>
      <c r="AC7" s="32" t="s">
        <v>19</v>
      </c>
      <c r="AD7" s="46" t="s">
        <v>38</v>
      </c>
      <c r="AE7" s="46" t="s">
        <v>41</v>
      </c>
      <c r="AF7" s="47" t="s">
        <v>89</v>
      </c>
      <c r="AG7" s="48" t="s">
        <v>50</v>
      </c>
      <c r="AH7" s="49" t="s">
        <v>42</v>
      </c>
      <c r="AI7" s="49" t="s">
        <v>43</v>
      </c>
      <c r="AJ7" s="49" t="s">
        <v>20</v>
      </c>
    </row>
    <row r="8" spans="1:36" x14ac:dyDescent="0.2">
      <c r="AA8" s="28" t="s">
        <v>21</v>
      </c>
      <c r="AB8" s="34" t="s">
        <v>22</v>
      </c>
      <c r="AC8" s="35" t="s">
        <v>23</v>
      </c>
      <c r="AD8" s="181" t="s">
        <v>40</v>
      </c>
      <c r="AE8" s="50" t="s">
        <v>24</v>
      </c>
      <c r="AF8" s="50" t="s">
        <v>29</v>
      </c>
      <c r="AG8" s="50" t="s">
        <v>23</v>
      </c>
      <c r="AH8" s="50" t="s">
        <v>25</v>
      </c>
      <c r="AI8" s="50" t="s">
        <v>25</v>
      </c>
      <c r="AJ8" s="50" t="s">
        <v>26</v>
      </c>
    </row>
    <row r="9" spans="1:36" x14ac:dyDescent="0.2">
      <c r="B9" s="118" t="s">
        <v>6</v>
      </c>
      <c r="C9" s="151"/>
      <c r="D9" s="151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AA9" s="1"/>
      <c r="AB9" s="36" t="s">
        <v>39</v>
      </c>
      <c r="AC9" s="37" t="s">
        <v>27</v>
      </c>
      <c r="AD9" s="182"/>
      <c r="AE9" s="51" t="s">
        <v>28</v>
      </c>
      <c r="AF9" s="51"/>
      <c r="AG9" s="51" t="s">
        <v>51</v>
      </c>
      <c r="AH9" s="51" t="s">
        <v>29</v>
      </c>
      <c r="AI9" s="51" t="s">
        <v>30</v>
      </c>
      <c r="AJ9" s="51" t="s">
        <v>31</v>
      </c>
    </row>
    <row r="10" spans="1:36" ht="15.75" thickBot="1" x14ac:dyDescent="0.3">
      <c r="B10" s="15"/>
      <c r="C10" s="142" t="s">
        <v>9</v>
      </c>
      <c r="D10" s="143"/>
      <c r="E10" s="6"/>
      <c r="F10" s="144" t="s">
        <v>10</v>
      </c>
      <c r="G10" s="145"/>
      <c r="H10" s="4"/>
      <c r="I10" s="142" t="s">
        <v>11</v>
      </c>
      <c r="J10" s="143"/>
      <c r="K10" s="4"/>
      <c r="L10" s="144" t="s">
        <v>12</v>
      </c>
      <c r="M10" s="145"/>
      <c r="N10" s="4"/>
      <c r="O10" s="142" t="s">
        <v>13</v>
      </c>
      <c r="P10" s="143"/>
      <c r="Q10" s="4"/>
      <c r="R10" s="144" t="s">
        <v>14</v>
      </c>
      <c r="S10" s="145"/>
      <c r="AA10" s="61"/>
      <c r="AB10" s="38" t="s">
        <v>32</v>
      </c>
      <c r="AC10" s="39" t="s">
        <v>33</v>
      </c>
      <c r="AD10" s="80" t="s">
        <v>76</v>
      </c>
      <c r="AE10" s="52"/>
      <c r="AF10" s="52" t="s">
        <v>75</v>
      </c>
      <c r="AG10" s="52" t="s">
        <v>52</v>
      </c>
      <c r="AH10" s="52" t="s">
        <v>35</v>
      </c>
      <c r="AI10" s="52" t="s">
        <v>35</v>
      </c>
      <c r="AJ10" s="52" t="s">
        <v>36</v>
      </c>
    </row>
    <row r="11" spans="1:36" x14ac:dyDescent="0.2">
      <c r="B11" s="12" t="s">
        <v>72</v>
      </c>
      <c r="C11" s="146">
        <v>100</v>
      </c>
      <c r="D11" s="147"/>
      <c r="E11" s="3"/>
      <c r="F11" s="148">
        <v>250</v>
      </c>
      <c r="G11" s="149"/>
      <c r="H11" s="5"/>
      <c r="I11" s="146">
        <v>500</v>
      </c>
      <c r="J11" s="147"/>
      <c r="K11" s="5"/>
      <c r="L11" s="148">
        <v>1000</v>
      </c>
      <c r="M11" s="149"/>
      <c r="N11" s="5"/>
      <c r="O11" s="146">
        <v>2500</v>
      </c>
      <c r="P11" s="147"/>
      <c r="Q11" s="5"/>
      <c r="R11" s="148">
        <v>5000</v>
      </c>
      <c r="S11" s="149"/>
      <c r="AA11" s="29">
        <v>1</v>
      </c>
      <c r="AB11" s="40">
        <v>25</v>
      </c>
      <c r="AC11" s="40">
        <f>6.407*POWER(AD11, -0.5478)</f>
        <v>0.18839598821000045</v>
      </c>
      <c r="AD11" s="81">
        <f>AF11*$C$12</f>
        <v>625</v>
      </c>
      <c r="AE11" s="53">
        <f>$C$12/AF11</f>
        <v>4</v>
      </c>
      <c r="AF11" s="54">
        <f>AB11/$C$11*$C$12</f>
        <v>12.5</v>
      </c>
      <c r="AG11" s="53">
        <f>AC11*AD11</f>
        <v>117.74749263125028</v>
      </c>
      <c r="AH11" s="55">
        <f>SQRT(AD11/AE11)</f>
        <v>12.5</v>
      </c>
      <c r="AI11" s="56">
        <f>(AH11*AE11)</f>
        <v>50</v>
      </c>
      <c r="AJ11" s="57">
        <f>(($AC$2/AH11)+($AC$3/AI11))*100+5</f>
        <v>10</v>
      </c>
    </row>
    <row r="12" spans="1:36" x14ac:dyDescent="0.2">
      <c r="B12" s="12" t="s">
        <v>44</v>
      </c>
      <c r="C12" s="126">
        <v>50</v>
      </c>
      <c r="D12" s="127"/>
      <c r="E12" s="3"/>
      <c r="F12" s="128">
        <v>50</v>
      </c>
      <c r="G12" s="129"/>
      <c r="H12" s="5"/>
      <c r="I12" s="126">
        <v>50</v>
      </c>
      <c r="J12" s="127"/>
      <c r="K12" s="5"/>
      <c r="L12" s="128">
        <v>50</v>
      </c>
      <c r="M12" s="129"/>
      <c r="N12" s="5"/>
      <c r="O12" s="126">
        <v>50</v>
      </c>
      <c r="P12" s="127"/>
      <c r="Q12" s="5"/>
      <c r="R12" s="128">
        <v>50</v>
      </c>
      <c r="S12" s="129"/>
      <c r="AA12" s="29">
        <v>2</v>
      </c>
      <c r="AB12" s="40">
        <v>50</v>
      </c>
      <c r="AC12" s="40">
        <f>5.126*POWER(AD12, -0.5478)</f>
        <v>0.10310774688117094</v>
      </c>
      <c r="AD12" s="81">
        <f>AF12*$C$12</f>
        <v>1250</v>
      </c>
      <c r="AE12" s="53">
        <f>$C$12/AF12</f>
        <v>2</v>
      </c>
      <c r="AF12" s="54">
        <f>AB12/$C$11*$C$12</f>
        <v>25</v>
      </c>
      <c r="AG12" s="53">
        <f>AC12*AD12</f>
        <v>128.88468360146368</v>
      </c>
      <c r="AH12" s="55">
        <f>SQRT(AD12/AE12)</f>
        <v>25</v>
      </c>
      <c r="AI12" s="56">
        <f>(AH12*AE12)</f>
        <v>50</v>
      </c>
      <c r="AJ12" s="57">
        <f>(($AC$2/AH12)+($AC$3/AI12))*100+5</f>
        <v>8</v>
      </c>
    </row>
    <row r="13" spans="1:36" x14ac:dyDescent="0.2">
      <c r="AA13" s="29">
        <v>3</v>
      </c>
      <c r="AB13" s="40">
        <v>100</v>
      </c>
      <c r="AC13" s="40">
        <f>3.844*POWER(AD13, -0.5478)</f>
        <v>5.2892225672055503E-2</v>
      </c>
      <c r="AD13" s="81">
        <f>AF13*$C$12</f>
        <v>2500</v>
      </c>
      <c r="AE13" s="53">
        <f>$C$12/AF13</f>
        <v>1</v>
      </c>
      <c r="AF13" s="54">
        <f>AB13/$C$11*$C$12</f>
        <v>50</v>
      </c>
      <c r="AG13" s="53">
        <f>AC13*AD13</f>
        <v>132.23056418013874</v>
      </c>
      <c r="AH13" s="55">
        <f>SQRT(AD13/AE13)</f>
        <v>50</v>
      </c>
      <c r="AI13" s="56">
        <f>(AH13*AE13)</f>
        <v>50</v>
      </c>
      <c r="AJ13" s="57">
        <f>(($AC$2/AH13)+($AC$3/AI13))*100+5</f>
        <v>7</v>
      </c>
    </row>
    <row r="14" spans="1:36" x14ac:dyDescent="0.2">
      <c r="H14" s="171"/>
      <c r="I14" s="171"/>
      <c r="J14" s="171"/>
      <c r="K14" s="171"/>
      <c r="L14" s="171"/>
      <c r="M14" s="171"/>
      <c r="N14" s="171"/>
      <c r="O14" s="171"/>
      <c r="P14" s="171"/>
      <c r="S14" s="26"/>
      <c r="AA14" s="29">
        <v>4</v>
      </c>
      <c r="AB14" s="40">
        <v>250</v>
      </c>
      <c r="AC14" s="40">
        <f>3.844*POWER(AD14, -0.5478)</f>
        <v>3.2018450104732858E-2</v>
      </c>
      <c r="AD14" s="81">
        <f>AF14*$C$12</f>
        <v>6250</v>
      </c>
      <c r="AE14" s="53">
        <f>$C$12/AF14</f>
        <v>0.4</v>
      </c>
      <c r="AF14" s="54">
        <f>AB14/$C$11*$C$12</f>
        <v>125</v>
      </c>
      <c r="AG14" s="53">
        <f>AC14*AD14</f>
        <v>200.11531315458038</v>
      </c>
      <c r="AH14" s="55">
        <f>SQRT(AD14/AE14)</f>
        <v>125</v>
      </c>
      <c r="AI14" s="56">
        <f>(AH14*AE14)</f>
        <v>50</v>
      </c>
      <c r="AJ14" s="57">
        <f>(($AC$2/AH14)+($AC$3/AI14))*100+5</f>
        <v>6.4</v>
      </c>
    </row>
    <row r="15" spans="1:36" ht="13.5" thickBot="1" x14ac:dyDescent="0.25">
      <c r="R15" s="25"/>
      <c r="S15" s="25"/>
      <c r="AA15" s="29">
        <v>5</v>
      </c>
      <c r="AB15" s="40">
        <v>1000</v>
      </c>
      <c r="AC15" s="40">
        <f>6.047*POWER(AD15, -0.5478)</f>
        <v>2.3569394839438429E-2</v>
      </c>
      <c r="AD15" s="81">
        <f>AF15*$C$12</f>
        <v>25000</v>
      </c>
      <c r="AE15" s="53">
        <f>$C$12/AF15</f>
        <v>0.1</v>
      </c>
      <c r="AF15" s="54">
        <f>AB15/$C$11*$C$12</f>
        <v>500</v>
      </c>
      <c r="AG15" s="53">
        <f>AC15*AD15</f>
        <v>589.2348709859607</v>
      </c>
      <c r="AH15" s="55">
        <f>SQRT(AD15/AE15)</f>
        <v>500</v>
      </c>
      <c r="AI15" s="56">
        <f>(AH15*AE15)</f>
        <v>50</v>
      </c>
      <c r="AJ15" s="57">
        <f>(($AC$2/AH15)+($AC$3/AI15))*100+5</f>
        <v>6.1</v>
      </c>
    </row>
    <row r="16" spans="1:36" ht="13.5" thickBot="1" x14ac:dyDescent="0.25">
      <c r="A16" s="183" t="s">
        <v>145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7"/>
      <c r="AA16" s="59" t="s">
        <v>1</v>
      </c>
      <c r="AB16" s="2"/>
      <c r="AC16" s="2"/>
      <c r="AD16" s="2"/>
      <c r="AE16" s="111"/>
      <c r="AH16" s="2"/>
      <c r="AI16" s="2"/>
      <c r="AJ16" s="2"/>
    </row>
    <row r="17" spans="1:36" x14ac:dyDescent="0.2">
      <c r="AA17" s="27"/>
      <c r="AB17" s="30"/>
      <c r="AC17" s="30"/>
      <c r="AD17" s="42"/>
      <c r="AE17" s="112"/>
      <c r="AF17" s="43"/>
      <c r="AG17" s="44"/>
      <c r="AH17" s="42"/>
      <c r="AI17" s="42"/>
      <c r="AJ17" s="45"/>
    </row>
    <row r="18" spans="1:36" ht="14.25" x14ac:dyDescent="0.25">
      <c r="B18" t="s">
        <v>139</v>
      </c>
      <c r="AA18" s="60"/>
      <c r="AB18" s="31" t="s">
        <v>37</v>
      </c>
      <c r="AC18" s="32" t="s">
        <v>19</v>
      </c>
      <c r="AD18" s="82" t="s">
        <v>38</v>
      </c>
      <c r="AE18" s="46" t="s">
        <v>41</v>
      </c>
      <c r="AF18" s="47" t="s">
        <v>89</v>
      </c>
      <c r="AG18" s="48" t="s">
        <v>50</v>
      </c>
      <c r="AH18" s="49" t="s">
        <v>42</v>
      </c>
      <c r="AI18" s="49" t="s">
        <v>43</v>
      </c>
      <c r="AJ18" s="49" t="s">
        <v>20</v>
      </c>
    </row>
    <row r="19" spans="1:36" x14ac:dyDescent="0.2">
      <c r="B19" s="78" t="s">
        <v>69</v>
      </c>
      <c r="C19" s="78"/>
      <c r="AA19" s="28" t="s">
        <v>21</v>
      </c>
      <c r="AB19" s="34" t="s">
        <v>22</v>
      </c>
      <c r="AC19" s="35" t="s">
        <v>23</v>
      </c>
      <c r="AD19" s="179" t="s">
        <v>40</v>
      </c>
      <c r="AE19" s="113" t="s">
        <v>24</v>
      </c>
      <c r="AF19" s="50" t="s">
        <v>29</v>
      </c>
      <c r="AG19" s="50" t="s">
        <v>23</v>
      </c>
      <c r="AH19" s="50" t="s">
        <v>25</v>
      </c>
      <c r="AI19" s="50" t="s">
        <v>25</v>
      </c>
      <c r="AJ19" s="50" t="s">
        <v>26</v>
      </c>
    </row>
    <row r="20" spans="1:36" x14ac:dyDescent="0.2">
      <c r="AA20" s="1"/>
      <c r="AB20" s="36" t="s">
        <v>39</v>
      </c>
      <c r="AC20" s="37" t="s">
        <v>27</v>
      </c>
      <c r="AD20" s="180"/>
      <c r="AE20" s="114" t="s">
        <v>28</v>
      </c>
      <c r="AF20" s="51"/>
      <c r="AG20" s="51" t="s">
        <v>51</v>
      </c>
      <c r="AH20" s="51" t="s">
        <v>29</v>
      </c>
      <c r="AI20" s="51" t="s">
        <v>30</v>
      </c>
      <c r="AJ20" s="51" t="s">
        <v>31</v>
      </c>
    </row>
    <row r="21" spans="1:36" ht="15" thickBot="1" x14ac:dyDescent="0.25">
      <c r="B21" s="118" t="s">
        <v>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AA21" s="61"/>
      <c r="AB21" s="38" t="s">
        <v>32</v>
      </c>
      <c r="AC21" s="39" t="s">
        <v>33</v>
      </c>
      <c r="AD21" s="52" t="s">
        <v>34</v>
      </c>
      <c r="AE21" s="80"/>
      <c r="AF21" s="52" t="s">
        <v>75</v>
      </c>
      <c r="AG21" s="52" t="s">
        <v>52</v>
      </c>
      <c r="AH21" s="52" t="s">
        <v>35</v>
      </c>
      <c r="AI21" s="52" t="s">
        <v>35</v>
      </c>
      <c r="AJ21" s="52" t="s">
        <v>36</v>
      </c>
    </row>
    <row r="22" spans="1:36" ht="15" thickTop="1" x14ac:dyDescent="0.25">
      <c r="B22" s="134" t="s">
        <v>7</v>
      </c>
      <c r="C22" s="136" t="s">
        <v>9</v>
      </c>
      <c r="D22" s="159"/>
      <c r="E22" s="137"/>
      <c r="F22" s="138" t="s">
        <v>10</v>
      </c>
      <c r="G22" s="158"/>
      <c r="H22" s="139"/>
      <c r="I22" s="136" t="s">
        <v>11</v>
      </c>
      <c r="J22" s="159"/>
      <c r="K22" s="137"/>
      <c r="L22" s="138" t="s">
        <v>12</v>
      </c>
      <c r="M22" s="158"/>
      <c r="N22" s="139"/>
      <c r="O22" s="136" t="s">
        <v>13</v>
      </c>
      <c r="P22" s="159"/>
      <c r="Q22" s="137"/>
      <c r="R22" s="138" t="s">
        <v>14</v>
      </c>
      <c r="S22" s="158"/>
      <c r="T22" s="139"/>
      <c r="AA22" s="29">
        <v>1</v>
      </c>
      <c r="AB22" s="40">
        <v>25</v>
      </c>
      <c r="AC22" s="40">
        <f>6.407*POWER(AD22, -0.5478)</f>
        <v>0.31121691060993301</v>
      </c>
      <c r="AD22" s="81">
        <f>AF22*$F$12</f>
        <v>250</v>
      </c>
      <c r="AE22" s="53">
        <f>$F$12/AF22</f>
        <v>10</v>
      </c>
      <c r="AF22" s="54">
        <f>AB22/$F$11*$F$12</f>
        <v>5</v>
      </c>
      <c r="AG22" s="53">
        <f>AC22*AD22</f>
        <v>77.804227652483249</v>
      </c>
      <c r="AH22" s="55">
        <f>SQRT(AD22/AE22)</f>
        <v>5</v>
      </c>
      <c r="AI22" s="56">
        <f>(AH22*AE22)</f>
        <v>50</v>
      </c>
      <c r="AJ22" s="57">
        <f>(($AC$2/AH22)+($AC$3/AI22))*100+5</f>
        <v>16</v>
      </c>
    </row>
    <row r="23" spans="1:36" ht="14.25" x14ac:dyDescent="0.25">
      <c r="B23" s="135"/>
      <c r="C23" s="10" t="s">
        <v>83</v>
      </c>
      <c r="D23" s="10" t="s">
        <v>54</v>
      </c>
      <c r="E23" s="106" t="s">
        <v>125</v>
      </c>
      <c r="F23" s="11" t="s">
        <v>84</v>
      </c>
      <c r="G23" s="11" t="s">
        <v>58</v>
      </c>
      <c r="H23" s="108" t="s">
        <v>133</v>
      </c>
      <c r="I23" s="10" t="s">
        <v>85</v>
      </c>
      <c r="J23" s="10" t="s">
        <v>60</v>
      </c>
      <c r="K23" s="106" t="s">
        <v>134</v>
      </c>
      <c r="L23" s="11" t="s">
        <v>86</v>
      </c>
      <c r="M23" s="11" t="s">
        <v>62</v>
      </c>
      <c r="N23" s="108" t="s">
        <v>135</v>
      </c>
      <c r="O23" s="10" t="s">
        <v>87</v>
      </c>
      <c r="P23" s="10" t="s">
        <v>64</v>
      </c>
      <c r="Q23" s="106" t="s">
        <v>136</v>
      </c>
      <c r="R23" s="11" t="s">
        <v>88</v>
      </c>
      <c r="S23" s="11" t="s">
        <v>66</v>
      </c>
      <c r="T23" s="108" t="s">
        <v>137</v>
      </c>
      <c r="AA23" s="29">
        <v>2</v>
      </c>
      <c r="AB23" s="40">
        <v>50</v>
      </c>
      <c r="AC23" s="40">
        <f>5.126*POWER(AD23, -0.5478)</f>
        <v>0.17032673969968132</v>
      </c>
      <c r="AD23" s="81">
        <f>AF23*$F$12</f>
        <v>500</v>
      </c>
      <c r="AE23" s="53">
        <f>$F$12/AF23</f>
        <v>5</v>
      </c>
      <c r="AF23" s="54">
        <f>AB23/$F$11*$F$12</f>
        <v>10</v>
      </c>
      <c r="AG23" s="53">
        <f>AC23*AD23</f>
        <v>85.163369849840663</v>
      </c>
      <c r="AH23" s="55">
        <f>SQRT(AD23/AE23)</f>
        <v>10</v>
      </c>
      <c r="AI23" s="56">
        <f>(AH23*AE23)</f>
        <v>50</v>
      </c>
      <c r="AJ23" s="57">
        <f>(($AC$2/AH23)+($AC$3/AI23))*100+5</f>
        <v>11</v>
      </c>
    </row>
    <row r="24" spans="1:36" ht="14.25" customHeight="1" thickBot="1" x14ac:dyDescent="0.25">
      <c r="B24" s="13" t="s">
        <v>113</v>
      </c>
      <c r="C24" s="75" t="s">
        <v>75</v>
      </c>
      <c r="D24" s="71" t="s">
        <v>55</v>
      </c>
      <c r="E24" s="110" t="s">
        <v>126</v>
      </c>
      <c r="F24" s="76" t="s">
        <v>75</v>
      </c>
      <c r="G24" s="72" t="s">
        <v>55</v>
      </c>
      <c r="H24" s="109" t="s">
        <v>126</v>
      </c>
      <c r="I24" s="75" t="s">
        <v>75</v>
      </c>
      <c r="J24" s="71" t="s">
        <v>55</v>
      </c>
      <c r="K24" s="110" t="s">
        <v>126</v>
      </c>
      <c r="L24" s="76" t="s">
        <v>75</v>
      </c>
      <c r="M24" s="72" t="s">
        <v>55</v>
      </c>
      <c r="N24" s="109" t="s">
        <v>126</v>
      </c>
      <c r="O24" s="75" t="s">
        <v>75</v>
      </c>
      <c r="P24" s="71" t="s">
        <v>55</v>
      </c>
      <c r="Q24" s="110" t="s">
        <v>126</v>
      </c>
      <c r="R24" s="76" t="s">
        <v>75</v>
      </c>
      <c r="S24" s="72" t="s">
        <v>55</v>
      </c>
      <c r="T24" s="109" t="s">
        <v>126</v>
      </c>
      <c r="AA24" s="29">
        <v>3</v>
      </c>
      <c r="AB24" s="40">
        <v>100</v>
      </c>
      <c r="AC24" s="40">
        <f>3.844*POWER(AD24, -0.5478)</f>
        <v>8.7374233524505171E-2</v>
      </c>
      <c r="AD24" s="81">
        <f>AF24*$F$12</f>
        <v>1000</v>
      </c>
      <c r="AE24" s="53">
        <f>$F$12/AF24</f>
        <v>2.5</v>
      </c>
      <c r="AF24" s="54">
        <f>AB24/$F$11*$F$12</f>
        <v>20</v>
      </c>
      <c r="AG24" s="53">
        <f>AC24*AD24</f>
        <v>87.374233524505172</v>
      </c>
      <c r="AH24" s="55">
        <f>SQRT(AD24/AE24)</f>
        <v>20</v>
      </c>
      <c r="AI24" s="56">
        <f>(AH24*AE24)</f>
        <v>50</v>
      </c>
      <c r="AJ24" s="57">
        <f>(($AC$2/AH24)+($AC$3/AI24))*100+5</f>
        <v>8.5</v>
      </c>
    </row>
    <row r="25" spans="1:36" x14ac:dyDescent="0.2">
      <c r="B25" s="14">
        <v>25</v>
      </c>
      <c r="C25" s="73">
        <f t="shared" ref="C25:D28" si="0">AF11</f>
        <v>12.5</v>
      </c>
      <c r="D25" s="73">
        <f t="shared" si="0"/>
        <v>117.74749263125028</v>
      </c>
      <c r="E25" s="62">
        <f>AJ11</f>
        <v>10</v>
      </c>
      <c r="F25" s="77">
        <f t="shared" ref="F25:G28" si="1">AF22</f>
        <v>5</v>
      </c>
      <c r="G25" s="77">
        <f t="shared" si="1"/>
        <v>77.804227652483249</v>
      </c>
      <c r="H25" s="93">
        <f>AJ22</f>
        <v>16</v>
      </c>
      <c r="I25" s="73">
        <f t="shared" ref="I25:J28" si="2">AF33</f>
        <v>2.5</v>
      </c>
      <c r="J25" s="73">
        <f t="shared" si="2"/>
        <v>56.869240980867957</v>
      </c>
      <c r="K25" s="62">
        <f>AJ33</f>
        <v>26.000000000000004</v>
      </c>
      <c r="L25" s="77">
        <f t="shared" ref="L25:M28" si="3">AF44</f>
        <v>1.25</v>
      </c>
      <c r="M25" s="77">
        <f t="shared" si="3"/>
        <v>41.567285831630642</v>
      </c>
      <c r="N25" s="93">
        <f>AJ44</f>
        <v>46</v>
      </c>
      <c r="O25" s="73">
        <f t="shared" ref="O25:P28" si="4">AF55</f>
        <v>0.5</v>
      </c>
      <c r="P25" s="73">
        <f t="shared" si="4"/>
        <v>27.466492045552897</v>
      </c>
      <c r="Q25" s="62">
        <f>AJ55</f>
        <v>106</v>
      </c>
      <c r="R25" s="77">
        <f t="shared" ref="R25:S28" si="5">AF66</f>
        <v>0.25</v>
      </c>
      <c r="S25" s="77">
        <f t="shared" si="5"/>
        <v>20.076011319261351</v>
      </c>
      <c r="T25" s="93">
        <f>AJ66</f>
        <v>205.99999999999997</v>
      </c>
      <c r="AA25" s="29">
        <v>4</v>
      </c>
      <c r="AB25" s="40">
        <v>250</v>
      </c>
      <c r="AC25" s="40">
        <f>3.844*POWER(AD25, -0.5478)</f>
        <v>5.2892225672055503E-2</v>
      </c>
      <c r="AD25" s="81">
        <f>AF25*$F$12</f>
        <v>2500</v>
      </c>
      <c r="AE25" s="53">
        <f>$F$12/AF25</f>
        <v>1</v>
      </c>
      <c r="AF25" s="54">
        <f>AB25/$F$11*$F$12</f>
        <v>50</v>
      </c>
      <c r="AG25" s="53">
        <f>AC25*AD25</f>
        <v>132.23056418013874</v>
      </c>
      <c r="AH25" s="55">
        <f>SQRT(AD25/AE25)</f>
        <v>50</v>
      </c>
      <c r="AI25" s="56">
        <f>(AH25*AE25)</f>
        <v>50</v>
      </c>
      <c r="AJ25" s="57">
        <f>(($AC$2/AH25)+($AC$3/AI25))*100+5</f>
        <v>7</v>
      </c>
    </row>
    <row r="26" spans="1:36" ht="13.5" thickBot="1" x14ac:dyDescent="0.25">
      <c r="B26" s="14">
        <v>50</v>
      </c>
      <c r="C26" s="73">
        <f t="shared" si="0"/>
        <v>25</v>
      </c>
      <c r="D26" s="73">
        <f t="shared" si="0"/>
        <v>128.88468360146368</v>
      </c>
      <c r="E26" s="62">
        <f>AJ12</f>
        <v>8</v>
      </c>
      <c r="F26" s="77">
        <f t="shared" si="1"/>
        <v>10</v>
      </c>
      <c r="G26" s="77">
        <f t="shared" si="1"/>
        <v>85.163369849840663</v>
      </c>
      <c r="H26" s="93">
        <f>AJ23</f>
        <v>11</v>
      </c>
      <c r="I26" s="73">
        <f t="shared" si="2"/>
        <v>5</v>
      </c>
      <c r="J26" s="73">
        <f t="shared" si="2"/>
        <v>62.248239573377425</v>
      </c>
      <c r="K26" s="62">
        <f>AJ34</f>
        <v>16</v>
      </c>
      <c r="L26" s="77">
        <f t="shared" si="3"/>
        <v>2.5</v>
      </c>
      <c r="M26" s="77">
        <f t="shared" si="3"/>
        <v>45.498943228957266</v>
      </c>
      <c r="N26" s="93">
        <f>AJ45</f>
        <v>26.000000000000004</v>
      </c>
      <c r="O26" s="73">
        <f t="shared" si="4"/>
        <v>1</v>
      </c>
      <c r="P26" s="73">
        <f t="shared" si="4"/>
        <v>30.064420547955535</v>
      </c>
      <c r="Q26" s="62">
        <f>AJ56</f>
        <v>56</v>
      </c>
      <c r="R26" s="77">
        <f t="shared" si="5"/>
        <v>0.5</v>
      </c>
      <c r="S26" s="77">
        <f t="shared" si="5"/>
        <v>21.974908416654308</v>
      </c>
      <c r="T26" s="93">
        <f>AJ67</f>
        <v>106</v>
      </c>
      <c r="AA26" s="29">
        <v>5</v>
      </c>
      <c r="AB26" s="40">
        <v>1000</v>
      </c>
      <c r="AC26" s="40">
        <f>6.047*POWER(AD26, -0.5478)</f>
        <v>3.8934981135051346E-2</v>
      </c>
      <c r="AD26" s="81">
        <f>AF26*$F$12</f>
        <v>10000</v>
      </c>
      <c r="AE26" s="53">
        <f>$F$12/AF26</f>
        <v>0.25</v>
      </c>
      <c r="AF26" s="54">
        <f>AB26/$F$11*$F$12</f>
        <v>200</v>
      </c>
      <c r="AG26" s="53">
        <f>AC26*AD26</f>
        <v>389.34981135051345</v>
      </c>
      <c r="AH26" s="55">
        <f>SQRT(AD26/AE26)</f>
        <v>200</v>
      </c>
      <c r="AI26" s="56">
        <f>(AH26*AE26)</f>
        <v>50</v>
      </c>
      <c r="AJ26" s="57">
        <f>(($AC$2/AH26)+($AC$3/AI26))*100+5</f>
        <v>6.25</v>
      </c>
    </row>
    <row r="27" spans="1:36" ht="13.5" thickBot="1" x14ac:dyDescent="0.25">
      <c r="B27" s="14">
        <v>100</v>
      </c>
      <c r="C27" s="73">
        <f t="shared" si="0"/>
        <v>50</v>
      </c>
      <c r="D27" s="74">
        <f t="shared" si="0"/>
        <v>132.23056418013874</v>
      </c>
      <c r="E27" s="62">
        <f>AJ13</f>
        <v>7</v>
      </c>
      <c r="F27" s="77">
        <f t="shared" si="1"/>
        <v>20</v>
      </c>
      <c r="G27" s="77">
        <f t="shared" si="1"/>
        <v>87.374233524505172</v>
      </c>
      <c r="H27" s="93">
        <f>AJ24</f>
        <v>8.5</v>
      </c>
      <c r="I27" s="73">
        <f t="shared" si="2"/>
        <v>10</v>
      </c>
      <c r="J27" s="73">
        <f t="shared" si="2"/>
        <v>63.86422038680989</v>
      </c>
      <c r="K27" s="62">
        <f>AJ35</f>
        <v>11</v>
      </c>
      <c r="L27" s="77">
        <f t="shared" si="3"/>
        <v>5</v>
      </c>
      <c r="M27" s="77">
        <f t="shared" si="3"/>
        <v>46.68010786579454</v>
      </c>
      <c r="N27" s="93">
        <f>AJ46</f>
        <v>16</v>
      </c>
      <c r="O27" s="73">
        <f t="shared" si="4"/>
        <v>2</v>
      </c>
      <c r="P27" s="73">
        <f t="shared" si="4"/>
        <v>30.844900881301989</v>
      </c>
      <c r="Q27" s="62">
        <f>AJ57</f>
        <v>31</v>
      </c>
      <c r="R27" s="77">
        <f t="shared" si="5"/>
        <v>1</v>
      </c>
      <c r="S27" s="77">
        <f t="shared" si="5"/>
        <v>22.545382868970162</v>
      </c>
      <c r="T27" s="93">
        <f>AJ68</f>
        <v>56</v>
      </c>
      <c r="AA27" s="58" t="s">
        <v>2</v>
      </c>
      <c r="AB27" s="2"/>
      <c r="AC27" s="2"/>
      <c r="AD27" s="2"/>
      <c r="AE27" s="111"/>
      <c r="AH27" s="2"/>
      <c r="AI27" s="2"/>
      <c r="AJ27" s="2"/>
    </row>
    <row r="28" spans="1:36" x14ac:dyDescent="0.2">
      <c r="B28" s="14">
        <v>250</v>
      </c>
      <c r="C28" s="73">
        <f t="shared" si="0"/>
        <v>125</v>
      </c>
      <c r="D28" s="74">
        <f t="shared" si="0"/>
        <v>200.11531315458038</v>
      </c>
      <c r="E28" s="62">
        <f>AJ14</f>
        <v>6.4</v>
      </c>
      <c r="F28" s="77">
        <f t="shared" si="1"/>
        <v>50</v>
      </c>
      <c r="G28" s="77">
        <f t="shared" si="1"/>
        <v>132.23056418013874</v>
      </c>
      <c r="H28" s="93">
        <f>AJ25</f>
        <v>7</v>
      </c>
      <c r="I28" s="73">
        <f t="shared" si="2"/>
        <v>25</v>
      </c>
      <c r="J28" s="73">
        <f t="shared" si="2"/>
        <v>96.650941038631743</v>
      </c>
      <c r="K28" s="62">
        <f>AJ36</f>
        <v>8</v>
      </c>
      <c r="L28" s="77">
        <f t="shared" si="3"/>
        <v>12.5</v>
      </c>
      <c r="M28" s="77">
        <f t="shared" si="3"/>
        <v>70.644819989780885</v>
      </c>
      <c r="N28" s="93">
        <f>AJ47</f>
        <v>10</v>
      </c>
      <c r="O28" s="73">
        <f t="shared" si="4"/>
        <v>5</v>
      </c>
      <c r="P28" s="73">
        <f t="shared" si="4"/>
        <v>46.68010786579454</v>
      </c>
      <c r="Q28" s="62">
        <f>AJ58</f>
        <v>16</v>
      </c>
      <c r="R28" s="77">
        <f t="shared" si="5"/>
        <v>2.5</v>
      </c>
      <c r="S28" s="77">
        <f t="shared" si="5"/>
        <v>34.119769366389328</v>
      </c>
      <c r="T28" s="93">
        <f>AJ69</f>
        <v>26.000000000000004</v>
      </c>
      <c r="AA28" s="27"/>
      <c r="AB28" s="30"/>
      <c r="AC28" s="30"/>
      <c r="AD28" s="42"/>
      <c r="AE28" s="112"/>
      <c r="AF28" s="43"/>
      <c r="AG28" s="44"/>
      <c r="AH28" s="42"/>
      <c r="AI28" s="42"/>
      <c r="AJ28" s="45"/>
    </row>
    <row r="29" spans="1:36" ht="14.25" x14ac:dyDescent="0.25">
      <c r="B29" s="14">
        <v>1000</v>
      </c>
      <c r="C29" s="73">
        <f>AF15</f>
        <v>500</v>
      </c>
      <c r="D29" s="74">
        <f>AG15</f>
        <v>589.2348709859607</v>
      </c>
      <c r="E29" s="62">
        <f>AJ15</f>
        <v>6.1</v>
      </c>
      <c r="F29" s="77">
        <f>AF26</f>
        <v>200</v>
      </c>
      <c r="G29" s="77">
        <f>AG26</f>
        <v>389.34981135051345</v>
      </c>
      <c r="H29" s="93">
        <f>AJ26</f>
        <v>6.25</v>
      </c>
      <c r="I29" s="73">
        <f>AF37</f>
        <v>100</v>
      </c>
      <c r="J29" s="73">
        <f>AG37</f>
        <v>284.5864410664982</v>
      </c>
      <c r="K29" s="62">
        <f>AJ37</f>
        <v>6.5</v>
      </c>
      <c r="L29" s="77">
        <f>AF48</f>
        <v>50</v>
      </c>
      <c r="M29" s="77">
        <f>AG48</f>
        <v>208.01202434893312</v>
      </c>
      <c r="N29" s="93">
        <f>AJ48</f>
        <v>7</v>
      </c>
      <c r="O29" s="73">
        <f>AF59</f>
        <v>20</v>
      </c>
      <c r="P29" s="73">
        <f>AG59</f>
        <v>137.4484885855054</v>
      </c>
      <c r="Q29" s="62">
        <f>AJ59</f>
        <v>8.5</v>
      </c>
      <c r="R29" s="77">
        <f>AF70</f>
        <v>10</v>
      </c>
      <c r="S29" s="77">
        <f>AG70</f>
        <v>100.46486490089474</v>
      </c>
      <c r="T29" s="93">
        <f>AJ70</f>
        <v>11</v>
      </c>
      <c r="AA29" s="60"/>
      <c r="AB29" s="31" t="s">
        <v>18</v>
      </c>
      <c r="AC29" s="32" t="s">
        <v>19</v>
      </c>
      <c r="AD29" s="82" t="s">
        <v>38</v>
      </c>
      <c r="AE29" s="46" t="s">
        <v>41</v>
      </c>
      <c r="AF29" s="47" t="s">
        <v>89</v>
      </c>
      <c r="AG29" s="48" t="s">
        <v>50</v>
      </c>
      <c r="AH29" s="49" t="s">
        <v>42</v>
      </c>
      <c r="AI29" s="49" t="s">
        <v>43</v>
      </c>
      <c r="AJ29" s="49" t="s">
        <v>20</v>
      </c>
    </row>
    <row r="30" spans="1:36" x14ac:dyDescent="0.2">
      <c r="E30" s="24"/>
      <c r="AA30" s="28" t="s">
        <v>21</v>
      </c>
      <c r="AB30" s="34" t="s">
        <v>22</v>
      </c>
      <c r="AC30" s="35" t="s">
        <v>23</v>
      </c>
      <c r="AD30" s="179" t="s">
        <v>40</v>
      </c>
      <c r="AE30" s="113" t="s">
        <v>24</v>
      </c>
      <c r="AF30" s="50" t="s">
        <v>29</v>
      </c>
      <c r="AG30" s="50" t="s">
        <v>23</v>
      </c>
      <c r="AH30" s="50" t="s">
        <v>25</v>
      </c>
      <c r="AI30" s="50" t="s">
        <v>25</v>
      </c>
      <c r="AJ30" s="50" t="s">
        <v>26</v>
      </c>
    </row>
    <row r="31" spans="1:36" x14ac:dyDescent="0.2">
      <c r="A31" s="119" t="s">
        <v>15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AA31" s="1"/>
      <c r="AB31" s="36" t="s">
        <v>39</v>
      </c>
      <c r="AC31" s="37" t="s">
        <v>27</v>
      </c>
      <c r="AD31" s="180"/>
      <c r="AE31" s="114" t="s">
        <v>28</v>
      </c>
      <c r="AF31" s="51"/>
      <c r="AG31" s="51" t="s">
        <v>51</v>
      </c>
      <c r="AH31" s="51" t="s">
        <v>29</v>
      </c>
      <c r="AI31" s="51" t="s">
        <v>30</v>
      </c>
      <c r="AJ31" s="51" t="s">
        <v>31</v>
      </c>
    </row>
    <row r="32" spans="1:36" ht="15" thickBot="1" x14ac:dyDescent="0.25">
      <c r="AA32" s="61"/>
      <c r="AB32" s="38" t="s">
        <v>32</v>
      </c>
      <c r="AC32" s="39" t="s">
        <v>33</v>
      </c>
      <c r="AD32" s="52" t="s">
        <v>34</v>
      </c>
      <c r="AE32" s="80"/>
      <c r="AF32" s="52" t="s">
        <v>75</v>
      </c>
      <c r="AG32" s="52" t="s">
        <v>52</v>
      </c>
      <c r="AH32" s="52" t="s">
        <v>35</v>
      </c>
      <c r="AI32" s="52" t="s">
        <v>35</v>
      </c>
      <c r="AJ32" s="52" t="s">
        <v>36</v>
      </c>
    </row>
    <row r="33" spans="2:36" ht="13.5" thickTop="1" x14ac:dyDescent="0.2">
      <c r="AA33" s="29">
        <v>1</v>
      </c>
      <c r="AB33" s="40">
        <v>25</v>
      </c>
      <c r="AC33" s="40">
        <f>6.407*POWER(AD33, -0.5478)</f>
        <v>0.45495392784694366</v>
      </c>
      <c r="AD33" s="81">
        <f>AF33*$I$12</f>
        <v>125</v>
      </c>
      <c r="AE33" s="53">
        <f>$I$12/AF33</f>
        <v>20</v>
      </c>
      <c r="AF33" s="54">
        <f>AB33/$I$11*$I$12</f>
        <v>2.5</v>
      </c>
      <c r="AG33" s="53">
        <f>AC33*AD33</f>
        <v>56.869240980867957</v>
      </c>
      <c r="AH33" s="55">
        <f>SQRT(AD33/AE33)</f>
        <v>2.5</v>
      </c>
      <c r="AI33" s="56">
        <f>(AH33*AE33)</f>
        <v>50</v>
      </c>
      <c r="AJ33" s="57">
        <f>(($AC$2/AH33)+($AC$3/AI33))*100+5</f>
        <v>26.000000000000004</v>
      </c>
    </row>
    <row r="34" spans="2:36" x14ac:dyDescent="0.2">
      <c r="B34" t="s">
        <v>17</v>
      </c>
      <c r="AA34" s="29">
        <v>2</v>
      </c>
      <c r="AB34" s="40">
        <v>50</v>
      </c>
      <c r="AC34" s="40">
        <f>5.126*POWER(AD34, -0.5478)</f>
        <v>0.2489929582935097</v>
      </c>
      <c r="AD34" s="81">
        <f>AF34*$I$12</f>
        <v>250</v>
      </c>
      <c r="AE34" s="53">
        <f>$I$12/AF34</f>
        <v>10</v>
      </c>
      <c r="AF34" s="54">
        <f>AB34/$I$11*$I$12</f>
        <v>5</v>
      </c>
      <c r="AG34" s="53">
        <f>AC34*AD34</f>
        <v>62.248239573377425</v>
      </c>
      <c r="AH34" s="55">
        <f>SQRT(AD34/AE34)</f>
        <v>5</v>
      </c>
      <c r="AI34" s="56">
        <f>(AH34*AE34)</f>
        <v>50</v>
      </c>
      <c r="AJ34" s="57">
        <f>(($AC$2/AH34)+($AC$3/AI34))*100+5</f>
        <v>16</v>
      </c>
    </row>
    <row r="35" spans="2:36" x14ac:dyDescent="0.2">
      <c r="B35" t="s">
        <v>68</v>
      </c>
      <c r="AA35" s="29">
        <v>3</v>
      </c>
      <c r="AB35" s="40">
        <v>100</v>
      </c>
      <c r="AC35" s="40">
        <f>3.844*POWER(AD35, -0.5478)</f>
        <v>0.12772844077361978</v>
      </c>
      <c r="AD35" s="81">
        <f>AF35*$I$12</f>
        <v>500</v>
      </c>
      <c r="AE35" s="53">
        <f>$I$12/AF35</f>
        <v>5</v>
      </c>
      <c r="AF35" s="54">
        <f>AB35/$I$11*$I$12</f>
        <v>10</v>
      </c>
      <c r="AG35" s="53">
        <f>AC35*AD35</f>
        <v>63.86422038680989</v>
      </c>
      <c r="AH35" s="55">
        <f>SQRT(AD35/AE35)</f>
        <v>10</v>
      </c>
      <c r="AI35" s="56">
        <f>(AH35*AE35)</f>
        <v>50</v>
      </c>
      <c r="AJ35" s="57">
        <f>(($AC$2/AH35)+($AC$3/AI35))*100+5</f>
        <v>11</v>
      </c>
    </row>
    <row r="36" spans="2:36" x14ac:dyDescent="0.2">
      <c r="AA36" s="29">
        <v>4</v>
      </c>
      <c r="AB36" s="40">
        <v>250</v>
      </c>
      <c r="AC36" s="40">
        <f>3.844*POWER(AD36, -0.5478)</f>
        <v>7.7320752830905393E-2</v>
      </c>
      <c r="AD36" s="81">
        <f>AF36*$I$12</f>
        <v>1250</v>
      </c>
      <c r="AE36" s="53">
        <f>$I$12/AF36</f>
        <v>2</v>
      </c>
      <c r="AF36" s="54">
        <f>AB36/$I$11*$I$12</f>
        <v>25</v>
      </c>
      <c r="AG36" s="53">
        <f>AC36*AD36</f>
        <v>96.650941038631743</v>
      </c>
      <c r="AH36" s="55">
        <f>SQRT(AD36/AE36)</f>
        <v>25</v>
      </c>
      <c r="AI36" s="56">
        <f>(AH36*AE36)</f>
        <v>50</v>
      </c>
      <c r="AJ36" s="57">
        <f>(($AC$2/AH36)+($AC$3/AI36))*100+5</f>
        <v>8</v>
      </c>
    </row>
    <row r="37" spans="2:36" ht="13.5" thickBot="1" x14ac:dyDescent="0.25">
      <c r="B37" s="118" t="s">
        <v>16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AA37" s="29">
        <v>5</v>
      </c>
      <c r="AB37" s="40">
        <v>1000</v>
      </c>
      <c r="AC37" s="40">
        <f>6.047*POWER(AD37, -0.5478)</f>
        <v>5.6917288213299638E-2</v>
      </c>
      <c r="AD37" s="81">
        <f>AF37*$I$12</f>
        <v>5000</v>
      </c>
      <c r="AE37" s="53">
        <f>$I$12/AF37</f>
        <v>0.5</v>
      </c>
      <c r="AF37" s="54">
        <f>AB37/$I$11*$I$12</f>
        <v>100</v>
      </c>
      <c r="AG37" s="53">
        <f>AC37*AD37</f>
        <v>284.5864410664982</v>
      </c>
      <c r="AH37" s="55">
        <f>SQRT(AD37/AE37)</f>
        <v>100</v>
      </c>
      <c r="AI37" s="56">
        <f>(AH37*AE37)</f>
        <v>50</v>
      </c>
      <c r="AJ37" s="57">
        <f>(($AC$2/AH37)+($AC$3/AI37))*100+5</f>
        <v>6.5</v>
      </c>
    </row>
    <row r="38" spans="2:36" ht="13.5" thickBot="1" x14ac:dyDescent="0.25">
      <c r="B38" s="166" t="s">
        <v>7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AA38" s="59" t="s">
        <v>3</v>
      </c>
      <c r="AB38" s="2"/>
      <c r="AC38" s="2"/>
      <c r="AD38" s="2"/>
      <c r="AE38" s="111"/>
      <c r="AH38" s="2"/>
      <c r="AI38" s="2"/>
      <c r="AJ38" s="2"/>
    </row>
    <row r="39" spans="2:36" x14ac:dyDescent="0.2">
      <c r="B39" s="167"/>
      <c r="C39" s="20"/>
      <c r="D39" s="21"/>
      <c r="E39" s="16"/>
      <c r="F39" s="21"/>
      <c r="G39" s="21"/>
      <c r="H39" s="16"/>
      <c r="I39" s="21"/>
      <c r="J39" s="21"/>
      <c r="K39" s="16"/>
      <c r="L39" s="21"/>
      <c r="M39" s="21"/>
      <c r="N39" s="16"/>
      <c r="O39" s="21"/>
      <c r="P39" s="21"/>
      <c r="Q39" s="16"/>
      <c r="R39" s="21"/>
      <c r="S39" s="22"/>
      <c r="AA39" s="27"/>
      <c r="AB39" s="30"/>
      <c r="AC39" s="30"/>
      <c r="AD39" s="42"/>
      <c r="AE39" s="112"/>
      <c r="AF39" s="43"/>
      <c r="AG39" s="44"/>
      <c r="AH39" s="42"/>
      <c r="AI39" s="42"/>
      <c r="AJ39" s="45"/>
    </row>
    <row r="40" spans="2:36" ht="15" thickBot="1" x14ac:dyDescent="0.3">
      <c r="B40" s="13" t="s">
        <v>113</v>
      </c>
      <c r="C40" s="142" t="s">
        <v>9</v>
      </c>
      <c r="D40" s="143"/>
      <c r="E40" s="23"/>
      <c r="F40" s="144" t="s">
        <v>10</v>
      </c>
      <c r="G40" s="145"/>
      <c r="H40" s="23"/>
      <c r="I40" s="142" t="s">
        <v>11</v>
      </c>
      <c r="J40" s="143"/>
      <c r="K40" s="23"/>
      <c r="L40" s="144" t="s">
        <v>12</v>
      </c>
      <c r="M40" s="145"/>
      <c r="N40" s="23"/>
      <c r="O40" s="142" t="s">
        <v>13</v>
      </c>
      <c r="P40" s="143"/>
      <c r="Q40" s="23"/>
      <c r="R40" s="144" t="s">
        <v>14</v>
      </c>
      <c r="S40" s="145"/>
      <c r="AA40" s="60"/>
      <c r="AB40" s="31" t="s">
        <v>18</v>
      </c>
      <c r="AC40" s="32" t="s">
        <v>19</v>
      </c>
      <c r="AD40" s="82" t="s">
        <v>38</v>
      </c>
      <c r="AE40" s="46" t="s">
        <v>41</v>
      </c>
      <c r="AF40" s="47" t="s">
        <v>89</v>
      </c>
      <c r="AG40" s="48" t="s">
        <v>50</v>
      </c>
      <c r="AH40" s="49" t="s">
        <v>42</v>
      </c>
      <c r="AI40" s="49" t="s">
        <v>43</v>
      </c>
      <c r="AJ40" s="49" t="s">
        <v>20</v>
      </c>
    </row>
    <row r="41" spans="2:36" x14ac:dyDescent="0.2">
      <c r="B41" s="14">
        <v>25</v>
      </c>
      <c r="C41" s="168" t="str">
        <f>IF(AE11&lt;1,"Partial Square",IF(AE11&lt;=10,"Bar",IF(AE11&gt;10,"Serpentine")))</f>
        <v>Bar</v>
      </c>
      <c r="D41" s="169"/>
      <c r="E41" s="67"/>
      <c r="F41" s="164" t="str">
        <f>IF(AE22&lt;1,"Partial Square",IF(AE22&lt;=10,"Bar",IF(AE22&gt;10,"Serpentine")))</f>
        <v>Bar</v>
      </c>
      <c r="G41" s="165"/>
      <c r="H41" s="68"/>
      <c r="I41" s="168" t="str">
        <f>IF(AE33&lt;1,"Partial Square",IF(AE33&lt;=10,"Bar",IF(AE33&gt;10,"Serpentine")))</f>
        <v>Serpentine</v>
      </c>
      <c r="J41" s="169"/>
      <c r="K41" s="68"/>
      <c r="L41" s="164" t="str">
        <f>IF(AE44&lt;1,"Partial Square",IF(AE44&lt;=10,"Bar",IF(AE44&gt;10,"Serpentine")))</f>
        <v>Serpentine</v>
      </c>
      <c r="M41" s="165"/>
      <c r="N41" s="68"/>
      <c r="O41" s="168" t="str">
        <f>IF(AE55&lt;1,"Partial Square",IF(AE55&lt;=10,"Bar",IF(AE55&gt;10,"Serpentine")))</f>
        <v>Serpentine</v>
      </c>
      <c r="P41" s="169"/>
      <c r="Q41" s="68"/>
      <c r="R41" s="164" t="str">
        <f>IF(AE66&lt;1,"Partial Square",IF(AE66&lt;=10,"Bar",IF(AE66&gt;10,"Serpentine")))</f>
        <v>Serpentine</v>
      </c>
      <c r="S41" s="165"/>
      <c r="AA41" s="28" t="s">
        <v>21</v>
      </c>
      <c r="AB41" s="34" t="s">
        <v>22</v>
      </c>
      <c r="AC41" s="35" t="s">
        <v>23</v>
      </c>
      <c r="AD41" s="179" t="s">
        <v>40</v>
      </c>
      <c r="AE41" s="113" t="s">
        <v>24</v>
      </c>
      <c r="AF41" s="50" t="s">
        <v>29</v>
      </c>
      <c r="AG41" s="50" t="s">
        <v>23</v>
      </c>
      <c r="AH41" s="50" t="s">
        <v>25</v>
      </c>
      <c r="AI41" s="50" t="s">
        <v>25</v>
      </c>
      <c r="AJ41" s="50" t="s">
        <v>26</v>
      </c>
    </row>
    <row r="42" spans="2:36" x14ac:dyDescent="0.2">
      <c r="B42" s="14">
        <v>50</v>
      </c>
      <c r="C42" s="168" t="str">
        <f>IF(AE12&lt;1,"Partial Square",IF(AE12&lt;=10,"Bar",IF(AE12&gt;10,"Serpentine")))</f>
        <v>Bar</v>
      </c>
      <c r="D42" s="169"/>
      <c r="E42" s="67"/>
      <c r="F42" s="164" t="str">
        <f>IF(AE23&lt;1,"Partial Square",IF(AE23&lt;=10,"Bar",IF(AE23&gt;10,"Serpentine")))</f>
        <v>Bar</v>
      </c>
      <c r="G42" s="165"/>
      <c r="H42" s="68"/>
      <c r="I42" s="168" t="str">
        <f>IF(AE34&lt;1,"Partial Square",IF(AE34&lt;=10,"Bar",IF(AE34&gt;10,"Serpentine")))</f>
        <v>Bar</v>
      </c>
      <c r="J42" s="169"/>
      <c r="K42" s="68"/>
      <c r="L42" s="164" t="str">
        <f>IF(AE45&lt;1,"Partial Square",IF(AE45&lt;=10,"Bar",IF(AE45&gt;10,"Serpentine")))</f>
        <v>Serpentine</v>
      </c>
      <c r="M42" s="165"/>
      <c r="N42" s="68"/>
      <c r="O42" s="168" t="str">
        <f>IF(AE56&lt;1,"Partial Square",IF(AE56&lt;=10,"Bar",IF(AE56&gt;10,"Serpentine")))</f>
        <v>Serpentine</v>
      </c>
      <c r="P42" s="169"/>
      <c r="Q42" s="68"/>
      <c r="R42" s="164" t="str">
        <f>IF(AE67&lt;1,"Partial Square",IF(AE67&lt;=10,"Bar",IF(AE67&gt;10,"Serpentine")))</f>
        <v>Serpentine</v>
      </c>
      <c r="S42" s="165"/>
      <c r="AA42" s="1"/>
      <c r="AB42" s="36" t="s">
        <v>39</v>
      </c>
      <c r="AC42" s="37" t="s">
        <v>27</v>
      </c>
      <c r="AD42" s="180"/>
      <c r="AE42" s="114" t="s">
        <v>28</v>
      </c>
      <c r="AF42" s="51"/>
      <c r="AG42" s="51" t="s">
        <v>51</v>
      </c>
      <c r="AH42" s="51" t="s">
        <v>29</v>
      </c>
      <c r="AI42" s="51" t="s">
        <v>30</v>
      </c>
      <c r="AJ42" s="51" t="s">
        <v>31</v>
      </c>
    </row>
    <row r="43" spans="2:36" ht="15" thickBot="1" x14ac:dyDescent="0.25">
      <c r="B43" s="14">
        <v>100</v>
      </c>
      <c r="C43" s="168" t="str">
        <f>IF(AE13&lt;1,"Partial Square",IF(AE13&lt;=10,"Bar",IF(AE13&gt;10,"Serpentine")))</f>
        <v>Bar</v>
      </c>
      <c r="D43" s="169"/>
      <c r="E43" s="69"/>
      <c r="F43" s="164" t="str">
        <f>IF(AE24&lt;1,"Partial Square",IF(AE24&lt;=10,"Bar",IF(AE24&gt;10,"Serpentine")))</f>
        <v>Bar</v>
      </c>
      <c r="G43" s="165"/>
      <c r="H43" s="70"/>
      <c r="I43" s="168" t="str">
        <f>IF(AE35&lt;1,"Partial Square",IF(AE35&lt;=10,"Bar",IF(AE35&gt;10,"Serpentine")))</f>
        <v>Bar</v>
      </c>
      <c r="J43" s="169"/>
      <c r="K43" s="70"/>
      <c r="L43" s="164" t="str">
        <f>IF(AE46&lt;1,"Partial Square",IF(AE46&lt;=10,"Bar",IF(AE46&gt;10,"Serpentine")))</f>
        <v>Bar</v>
      </c>
      <c r="M43" s="165"/>
      <c r="N43" s="70"/>
      <c r="O43" s="168" t="str">
        <f>IF(AE57&lt;1,"Partial Square",IF(AE57&lt;=10,"Bar",IF(AE57&gt;10,"Serpentine")))</f>
        <v>Serpentine</v>
      </c>
      <c r="P43" s="169"/>
      <c r="Q43" s="70"/>
      <c r="R43" s="164" t="str">
        <f>IF(AE68&lt;1,"Partial Square",IF(AE68&lt;=10,"Bar",IF(AE68&gt;10,"Serpentine")))</f>
        <v>Serpentine</v>
      </c>
      <c r="S43" s="165"/>
      <c r="AA43" s="61"/>
      <c r="AB43" s="38" t="s">
        <v>32</v>
      </c>
      <c r="AC43" s="39" t="s">
        <v>33</v>
      </c>
      <c r="AD43" s="52" t="s">
        <v>34</v>
      </c>
      <c r="AE43" s="80"/>
      <c r="AF43" s="52" t="s">
        <v>75</v>
      </c>
      <c r="AG43" s="52" t="s">
        <v>52</v>
      </c>
      <c r="AH43" s="52" t="s">
        <v>35</v>
      </c>
      <c r="AI43" s="52" t="s">
        <v>35</v>
      </c>
      <c r="AJ43" s="52" t="s">
        <v>36</v>
      </c>
    </row>
    <row r="44" spans="2:36" ht="13.5" thickTop="1" x14ac:dyDescent="0.2">
      <c r="B44" s="14">
        <v>250</v>
      </c>
      <c r="C44" s="168" t="str">
        <f>IF(AE14&lt;1,"Partial Square",IF(AE14&lt;=10,"Bar",IF(AE14&gt;10,"Serpentine")))</f>
        <v>Partial Square</v>
      </c>
      <c r="D44" s="169"/>
      <c r="E44" s="69"/>
      <c r="F44" s="164" t="str">
        <f>IF(AE25&lt;1,"Partial Square",IF(AE25&lt;=10,"Bar",IF(AE25&gt;10,"Serpentine")))</f>
        <v>Bar</v>
      </c>
      <c r="G44" s="165"/>
      <c r="H44" s="70"/>
      <c r="I44" s="168" t="str">
        <f>IF(AE36&lt;1,"Partial Square",IF(AE36&lt;=10,"Bar",IF(AE36&gt;10,"Serpentine")))</f>
        <v>Bar</v>
      </c>
      <c r="J44" s="169"/>
      <c r="K44" s="70"/>
      <c r="L44" s="164" t="str">
        <f>IF(AE47&lt;1,"Partial Square",IF(AE47&lt;=10,"Bar",IF(AE47&gt;10,"Serpentine")))</f>
        <v>Bar</v>
      </c>
      <c r="M44" s="165"/>
      <c r="N44" s="70"/>
      <c r="O44" s="168" t="str">
        <f>IF(AE58&lt;1,"Partial Square",IF(AE58&lt;=10,"Bar",IF(AE58&gt;10,"Serpentine")))</f>
        <v>Bar</v>
      </c>
      <c r="P44" s="169"/>
      <c r="Q44" s="70"/>
      <c r="R44" s="164" t="str">
        <f>IF(AE69&lt;1,"Partial Square",IF(AE69&lt;=10,"Bar",IF(AE69&gt;10,"Serpentine")))</f>
        <v>Serpentine</v>
      </c>
      <c r="S44" s="165"/>
      <c r="AA44" s="29">
        <v>1</v>
      </c>
      <c r="AB44" s="40">
        <v>25</v>
      </c>
      <c r="AC44" s="40">
        <f>6.407*POWER(AD44, -0.5478)</f>
        <v>0.66507657330609027</v>
      </c>
      <c r="AD44" s="81">
        <f>AF44*$L$12</f>
        <v>62.5</v>
      </c>
      <c r="AE44" s="53">
        <f>$L$12/AF44</f>
        <v>40</v>
      </c>
      <c r="AF44" s="54">
        <f>AB44/$L$11*$L$12</f>
        <v>1.25</v>
      </c>
      <c r="AG44" s="53">
        <f>AC44*AD44</f>
        <v>41.567285831630642</v>
      </c>
      <c r="AH44" s="55">
        <f>SQRT(AD44/AE44)</f>
        <v>1.25</v>
      </c>
      <c r="AI44" s="56">
        <f>(AH44*AE44)</f>
        <v>50</v>
      </c>
      <c r="AJ44" s="57">
        <f>(($AC$2/AH44)+($AC$3/AI44))*100+5</f>
        <v>46</v>
      </c>
    </row>
    <row r="45" spans="2:36" x14ac:dyDescent="0.2">
      <c r="B45" s="14">
        <v>1000</v>
      </c>
      <c r="C45" s="168" t="str">
        <f>IF(AE15&lt;1,"Partial Square",IF(AE15&lt;=10,"Bar",IF(AE15&gt;10,"Serpentine")))</f>
        <v>Partial Square</v>
      </c>
      <c r="D45" s="169"/>
      <c r="E45" s="69"/>
      <c r="F45" s="164" t="str">
        <f>IF(AE26&lt;1,"Partial Square",IF(AE26&lt;=10,"Bar",IF(AE26&gt;10,"Serpentine")))</f>
        <v>Partial Square</v>
      </c>
      <c r="G45" s="165"/>
      <c r="H45" s="70"/>
      <c r="I45" s="168" t="str">
        <f>IF(AE37&lt;1,"Partial Square",IF(AE37&lt;=10,"Bar",IF(AE37&gt;10,"Serpentine")))</f>
        <v>Partial Square</v>
      </c>
      <c r="J45" s="169"/>
      <c r="K45" s="70"/>
      <c r="L45" s="164" t="str">
        <f>IF(AE48&lt;1,"Partial Square",IF(AE48&lt;=10,"Bar",IF(AE48&gt;10,"Serpentine")))</f>
        <v>Bar</v>
      </c>
      <c r="M45" s="165"/>
      <c r="N45" s="70"/>
      <c r="O45" s="168" t="str">
        <f>IF(AE59&lt;1,"Partial Square",IF(AE59&lt;=10,"Bar",IF(AE59&gt;10,"Serpentine")))</f>
        <v>Bar</v>
      </c>
      <c r="P45" s="169"/>
      <c r="Q45" s="70"/>
      <c r="R45" s="164" t="str">
        <f>IF(AE70&lt;1,"Partial Square",IF(AE70&lt;=10,"Bar",IF(AE70&gt;10,"Serpentine")))</f>
        <v>Bar</v>
      </c>
      <c r="S45" s="165"/>
      <c r="AA45" s="29">
        <v>2</v>
      </c>
      <c r="AB45" s="40">
        <v>50</v>
      </c>
      <c r="AC45" s="40">
        <f>5.126*POWER(AD45, -0.5478)</f>
        <v>0.3639915458316581</v>
      </c>
      <c r="AD45" s="81">
        <f>AF45*$L$12</f>
        <v>125</v>
      </c>
      <c r="AE45" s="53">
        <f>$L$12/AF45</f>
        <v>20</v>
      </c>
      <c r="AF45" s="54">
        <f>AB45/$L$11*$L$12</f>
        <v>2.5</v>
      </c>
      <c r="AG45" s="53">
        <f>AC45*AD45</f>
        <v>45.498943228957266</v>
      </c>
      <c r="AH45" s="55">
        <f>SQRT(AD45/AE45)</f>
        <v>2.5</v>
      </c>
      <c r="AI45" s="56">
        <f>(AH45*AE45)</f>
        <v>50</v>
      </c>
      <c r="AJ45" s="57">
        <f>(($AC$2/AH45)+($AC$3/AI45))*100+5</f>
        <v>26.000000000000004</v>
      </c>
    </row>
    <row r="46" spans="2:36" x14ac:dyDescent="0.2">
      <c r="AA46" s="29">
        <v>3</v>
      </c>
      <c r="AB46" s="40">
        <v>100</v>
      </c>
      <c r="AC46" s="40">
        <f>3.844*POWER(AD46, -0.5478)</f>
        <v>0.18672043146317815</v>
      </c>
      <c r="AD46" s="81">
        <f>AF46*$L$12</f>
        <v>250</v>
      </c>
      <c r="AE46" s="53">
        <f>$L$12/AF46</f>
        <v>10</v>
      </c>
      <c r="AF46" s="54">
        <f>AB46/$L$11*$L$12</f>
        <v>5</v>
      </c>
      <c r="AG46" s="53">
        <f>AC46*AD46</f>
        <v>46.68010786579454</v>
      </c>
      <c r="AH46" s="55">
        <f>SQRT(AD46/AE46)</f>
        <v>5</v>
      </c>
      <c r="AI46" s="56">
        <f>(AH46*AE46)</f>
        <v>50</v>
      </c>
      <c r="AJ46" s="57">
        <f>(($AC$2/AH46)+($AC$3/AI46))*100+5</f>
        <v>16</v>
      </c>
    </row>
    <row r="47" spans="2:36" x14ac:dyDescent="0.2">
      <c r="AA47" s="29">
        <v>4</v>
      </c>
      <c r="AB47" s="40">
        <v>250</v>
      </c>
      <c r="AC47" s="40">
        <f>3.844*POWER(AD47, -0.5478)</f>
        <v>0.1130317119836494</v>
      </c>
      <c r="AD47" s="81">
        <f>AF47*$L$12</f>
        <v>625</v>
      </c>
      <c r="AE47" s="53">
        <f>$L$12/AF47</f>
        <v>4</v>
      </c>
      <c r="AF47" s="54">
        <f>AB47/$L$11*$L$12</f>
        <v>12.5</v>
      </c>
      <c r="AG47" s="53">
        <f>AC47*AD47</f>
        <v>70.644819989780885</v>
      </c>
      <c r="AH47" s="55">
        <f>SQRT(AD47/AE47)</f>
        <v>12.5</v>
      </c>
      <c r="AI47" s="56">
        <f>(AH47*AE47)</f>
        <v>50</v>
      </c>
      <c r="AJ47" s="57">
        <f>(($AC$2/AH47)+($AC$3/AI47))*100+5</f>
        <v>10</v>
      </c>
    </row>
    <row r="48" spans="2:36" ht="13.5" thickBot="1" x14ac:dyDescent="0.25">
      <c r="AA48" s="29">
        <v>5</v>
      </c>
      <c r="AB48" s="40">
        <v>1000</v>
      </c>
      <c r="AC48" s="40">
        <f>6.047*POWER(AD48, -0.5478)</f>
        <v>8.3204809739573254E-2</v>
      </c>
      <c r="AD48" s="81">
        <f>AF48*$L$12</f>
        <v>2500</v>
      </c>
      <c r="AE48" s="53">
        <f>$L$12/AF48</f>
        <v>1</v>
      </c>
      <c r="AF48" s="54">
        <f>AB48/$L$11*$L$12</f>
        <v>50</v>
      </c>
      <c r="AG48" s="53">
        <f>AC48*AD48</f>
        <v>208.01202434893312</v>
      </c>
      <c r="AH48" s="55">
        <f>SQRT(AD48/AE48)</f>
        <v>50</v>
      </c>
      <c r="AI48" s="56">
        <f>(AH48*AE48)</f>
        <v>50</v>
      </c>
      <c r="AJ48" s="57">
        <f>(($AC$2/AH48)+($AC$3/AI48))*100+5</f>
        <v>7</v>
      </c>
    </row>
    <row r="49" spans="27:36" ht="13.5" thickBot="1" x14ac:dyDescent="0.25">
      <c r="AA49" s="58" t="s">
        <v>4</v>
      </c>
      <c r="AB49" s="2"/>
      <c r="AC49" s="2"/>
      <c r="AD49" s="2"/>
      <c r="AE49" s="111"/>
      <c r="AH49" s="2"/>
      <c r="AI49" s="2"/>
      <c r="AJ49" s="2"/>
    </row>
    <row r="50" spans="27:36" x14ac:dyDescent="0.2">
      <c r="AA50" s="27"/>
      <c r="AB50" s="30"/>
      <c r="AC50" s="30"/>
      <c r="AD50" s="42"/>
      <c r="AE50" s="112"/>
      <c r="AF50" s="43"/>
      <c r="AG50" s="44"/>
      <c r="AH50" s="42"/>
      <c r="AI50" s="42"/>
      <c r="AJ50" s="45"/>
    </row>
    <row r="51" spans="27:36" ht="14.25" x14ac:dyDescent="0.25">
      <c r="AA51" s="60"/>
      <c r="AB51" s="31" t="s">
        <v>18</v>
      </c>
      <c r="AC51" s="32" t="s">
        <v>19</v>
      </c>
      <c r="AD51" s="82" t="s">
        <v>38</v>
      </c>
      <c r="AE51" s="46" t="s">
        <v>41</v>
      </c>
      <c r="AF51" s="47" t="s">
        <v>89</v>
      </c>
      <c r="AG51" s="48" t="s">
        <v>50</v>
      </c>
      <c r="AH51" s="49" t="s">
        <v>42</v>
      </c>
      <c r="AI51" s="49" t="s">
        <v>43</v>
      </c>
      <c r="AJ51" s="49" t="s">
        <v>20</v>
      </c>
    </row>
    <row r="52" spans="27:36" x14ac:dyDescent="0.2">
      <c r="AA52" s="28" t="s">
        <v>21</v>
      </c>
      <c r="AB52" s="34" t="s">
        <v>22</v>
      </c>
      <c r="AC52" s="35" t="s">
        <v>23</v>
      </c>
      <c r="AD52" s="179" t="s">
        <v>40</v>
      </c>
      <c r="AE52" s="113" t="s">
        <v>24</v>
      </c>
      <c r="AF52" s="50" t="s">
        <v>29</v>
      </c>
      <c r="AG52" s="50" t="s">
        <v>23</v>
      </c>
      <c r="AH52" s="50" t="s">
        <v>25</v>
      </c>
      <c r="AI52" s="50" t="s">
        <v>25</v>
      </c>
      <c r="AJ52" s="50" t="s">
        <v>26</v>
      </c>
    </row>
    <row r="53" spans="27:36" x14ac:dyDescent="0.2">
      <c r="AA53" s="1"/>
      <c r="AB53" s="36" t="s">
        <v>39</v>
      </c>
      <c r="AC53" s="37" t="s">
        <v>27</v>
      </c>
      <c r="AD53" s="180"/>
      <c r="AE53" s="114" t="s">
        <v>28</v>
      </c>
      <c r="AF53" s="51"/>
      <c r="AG53" s="51" t="s">
        <v>51</v>
      </c>
      <c r="AH53" s="51" t="s">
        <v>29</v>
      </c>
      <c r="AI53" s="51" t="s">
        <v>30</v>
      </c>
      <c r="AJ53" s="51" t="s">
        <v>31</v>
      </c>
    </row>
    <row r="54" spans="27:36" ht="24" customHeight="1" thickBot="1" x14ac:dyDescent="0.25">
      <c r="AA54" s="61"/>
      <c r="AB54" s="38" t="s">
        <v>32</v>
      </c>
      <c r="AC54" s="39" t="s">
        <v>33</v>
      </c>
      <c r="AD54" s="52" t="s">
        <v>34</v>
      </c>
      <c r="AE54" s="80"/>
      <c r="AF54" s="52" t="s">
        <v>75</v>
      </c>
      <c r="AG54" s="52" t="s">
        <v>52</v>
      </c>
      <c r="AH54" s="52" t="s">
        <v>35</v>
      </c>
      <c r="AI54" s="52" t="s">
        <v>35</v>
      </c>
      <c r="AJ54" s="52" t="s">
        <v>36</v>
      </c>
    </row>
    <row r="55" spans="27:36" ht="13.5" thickTop="1" x14ac:dyDescent="0.2">
      <c r="AA55" s="29">
        <v>1</v>
      </c>
      <c r="AB55" s="40">
        <v>25</v>
      </c>
      <c r="AC55" s="40">
        <f>6.407*POWER(AD55, -0.5478)</f>
        <v>1.0986596818221159</v>
      </c>
      <c r="AD55" s="81">
        <f>AF55*$O$12</f>
        <v>25</v>
      </c>
      <c r="AE55" s="53">
        <f>$O$12/AF55</f>
        <v>100</v>
      </c>
      <c r="AF55" s="54">
        <f>AB55/$O$11*$O$12</f>
        <v>0.5</v>
      </c>
      <c r="AG55" s="53">
        <f>AC55*AD55</f>
        <v>27.466492045552897</v>
      </c>
      <c r="AH55" s="55">
        <f>SQRT(AD55/AE55)</f>
        <v>0.5</v>
      </c>
      <c r="AI55" s="56">
        <f>(AH55*AE55)</f>
        <v>50</v>
      </c>
      <c r="AJ55" s="57">
        <f>(($AC$2/AH55)+($AC$3/AI55))*100+5</f>
        <v>106</v>
      </c>
    </row>
    <row r="56" spans="27:36" x14ac:dyDescent="0.2">
      <c r="AA56" s="29">
        <v>2</v>
      </c>
      <c r="AB56" s="40">
        <v>50</v>
      </c>
      <c r="AC56" s="40">
        <f>5.126*POWER(AD56, -0.5478)</f>
        <v>0.60128841095911068</v>
      </c>
      <c r="AD56" s="81">
        <f>AF56*$O$12</f>
        <v>50</v>
      </c>
      <c r="AE56" s="53">
        <f>$O$12/AF56</f>
        <v>50</v>
      </c>
      <c r="AF56" s="54">
        <f>AB56/$O$11*$O$12</f>
        <v>1</v>
      </c>
      <c r="AG56" s="53">
        <f>AC56*AD56</f>
        <v>30.064420547955535</v>
      </c>
      <c r="AH56" s="55">
        <f>SQRT(AD56/AE56)</f>
        <v>1</v>
      </c>
      <c r="AI56" s="56">
        <f>(AH56*AE56)</f>
        <v>50</v>
      </c>
      <c r="AJ56" s="57">
        <f>(($AC$2/AH56)+($AC$3/AI56))*100+5</f>
        <v>56</v>
      </c>
    </row>
    <row r="57" spans="27:36" x14ac:dyDescent="0.2">
      <c r="AA57" s="29">
        <v>3</v>
      </c>
      <c r="AB57" s="40">
        <v>100</v>
      </c>
      <c r="AC57" s="40">
        <f>3.844*POWER(AD57, -0.5478)</f>
        <v>0.3084490088130199</v>
      </c>
      <c r="AD57" s="81">
        <f>AF57*$O$12</f>
        <v>100</v>
      </c>
      <c r="AE57" s="53">
        <f>$O$12/AF57</f>
        <v>25</v>
      </c>
      <c r="AF57" s="54">
        <f>AB57/$O$11*$O$12</f>
        <v>2</v>
      </c>
      <c r="AG57" s="53">
        <f>AC57*AD57</f>
        <v>30.844900881301989</v>
      </c>
      <c r="AH57" s="55">
        <f>SQRT(AD57/AE57)</f>
        <v>2</v>
      </c>
      <c r="AI57" s="56">
        <f>(AH57*AE57)</f>
        <v>50</v>
      </c>
      <c r="AJ57" s="57">
        <f>(($AC$2/AH57)+($AC$3/AI57))*100+5</f>
        <v>31</v>
      </c>
    </row>
    <row r="58" spans="27:36" x14ac:dyDescent="0.2">
      <c r="AA58" s="29">
        <v>4</v>
      </c>
      <c r="AB58" s="40">
        <v>250</v>
      </c>
      <c r="AC58" s="40">
        <f>3.844*POWER(AD58, -0.5478)</f>
        <v>0.18672043146317815</v>
      </c>
      <c r="AD58" s="81">
        <f>AF58*$O$12</f>
        <v>250</v>
      </c>
      <c r="AE58" s="53">
        <f>$O$12/AF58</f>
        <v>10</v>
      </c>
      <c r="AF58" s="54">
        <f>AB58/$O$11*$O$12</f>
        <v>5</v>
      </c>
      <c r="AG58" s="53">
        <f>AC58*AD58</f>
        <v>46.68010786579454</v>
      </c>
      <c r="AH58" s="55">
        <f>SQRT(AD58/AE58)</f>
        <v>5</v>
      </c>
      <c r="AI58" s="56">
        <f>(AH58*AE58)</f>
        <v>50</v>
      </c>
      <c r="AJ58" s="57">
        <f>(($AC$2/AH58)+($AC$3/AI58))*100+5</f>
        <v>16</v>
      </c>
    </row>
    <row r="59" spans="27:36" ht="13.5" thickBot="1" x14ac:dyDescent="0.25">
      <c r="AA59" s="29">
        <v>5</v>
      </c>
      <c r="AB59" s="40">
        <v>1000</v>
      </c>
      <c r="AC59" s="40">
        <f>6.047*POWER(AD59, -0.5478)</f>
        <v>0.1374484885855054</v>
      </c>
      <c r="AD59" s="81">
        <f>AF59*$O$12</f>
        <v>1000</v>
      </c>
      <c r="AE59" s="53">
        <f>$O$12/AF59</f>
        <v>2.5</v>
      </c>
      <c r="AF59" s="54">
        <f>AB59/$O$11*$O$12</f>
        <v>20</v>
      </c>
      <c r="AG59" s="53">
        <f>AC59*AD59</f>
        <v>137.4484885855054</v>
      </c>
      <c r="AH59" s="55">
        <f>SQRT(AD59/AE59)</f>
        <v>20</v>
      </c>
      <c r="AI59" s="56">
        <f>(AH59*AE59)</f>
        <v>50</v>
      </c>
      <c r="AJ59" s="57">
        <f>(($AC$2/AH59)+($AC$3/AI59))*100+5</f>
        <v>8.5</v>
      </c>
    </row>
    <row r="60" spans="27:36" ht="13.5" thickBot="1" x14ac:dyDescent="0.25">
      <c r="AA60" s="59" t="s">
        <v>5</v>
      </c>
      <c r="AB60" s="2"/>
      <c r="AC60" s="2"/>
      <c r="AD60" s="2"/>
      <c r="AE60" s="111"/>
      <c r="AH60" s="2"/>
      <c r="AI60" s="2"/>
      <c r="AJ60" s="2"/>
    </row>
    <row r="61" spans="27:36" x14ac:dyDescent="0.2">
      <c r="AA61" s="27"/>
      <c r="AB61" s="30"/>
      <c r="AC61" s="30"/>
      <c r="AD61" s="42"/>
      <c r="AE61" s="112"/>
      <c r="AF61" s="43"/>
      <c r="AG61" s="44"/>
      <c r="AH61" s="42"/>
      <c r="AI61" s="42"/>
      <c r="AJ61" s="45"/>
    </row>
    <row r="62" spans="27:36" ht="14.25" x14ac:dyDescent="0.25">
      <c r="AA62" s="60"/>
      <c r="AB62" s="31" t="s">
        <v>18</v>
      </c>
      <c r="AC62" s="32" t="s">
        <v>19</v>
      </c>
      <c r="AD62" s="82" t="s">
        <v>38</v>
      </c>
      <c r="AE62" s="46" t="s">
        <v>41</v>
      </c>
      <c r="AF62" s="47" t="s">
        <v>89</v>
      </c>
      <c r="AG62" s="48" t="s">
        <v>50</v>
      </c>
      <c r="AH62" s="49" t="s">
        <v>42</v>
      </c>
      <c r="AI62" s="49" t="s">
        <v>43</v>
      </c>
      <c r="AJ62" s="49" t="s">
        <v>20</v>
      </c>
    </row>
    <row r="63" spans="27:36" x14ac:dyDescent="0.2">
      <c r="AA63" s="28" t="s">
        <v>21</v>
      </c>
      <c r="AB63" s="34" t="s">
        <v>22</v>
      </c>
      <c r="AC63" s="35" t="s">
        <v>23</v>
      </c>
      <c r="AD63" s="179" t="s">
        <v>40</v>
      </c>
      <c r="AE63" s="113" t="s">
        <v>24</v>
      </c>
      <c r="AF63" s="50" t="s">
        <v>29</v>
      </c>
      <c r="AG63" s="50" t="s">
        <v>23</v>
      </c>
      <c r="AH63" s="50" t="s">
        <v>25</v>
      </c>
      <c r="AI63" s="50" t="s">
        <v>25</v>
      </c>
      <c r="AJ63" s="50" t="s">
        <v>26</v>
      </c>
    </row>
    <row r="64" spans="27:36" x14ac:dyDescent="0.2">
      <c r="AA64" s="1"/>
      <c r="AB64" s="36" t="s">
        <v>39</v>
      </c>
      <c r="AC64" s="37" t="s">
        <v>27</v>
      </c>
      <c r="AD64" s="180"/>
      <c r="AE64" s="114" t="s">
        <v>28</v>
      </c>
      <c r="AF64" s="51"/>
      <c r="AG64" s="51" t="s">
        <v>51</v>
      </c>
      <c r="AH64" s="51" t="s">
        <v>29</v>
      </c>
      <c r="AI64" s="51" t="s">
        <v>30</v>
      </c>
      <c r="AJ64" s="51" t="s">
        <v>31</v>
      </c>
    </row>
    <row r="65" spans="27:36" ht="15" thickBot="1" x14ac:dyDescent="0.25">
      <c r="AA65" s="61"/>
      <c r="AB65" s="38" t="s">
        <v>32</v>
      </c>
      <c r="AC65" s="39" t="s">
        <v>33</v>
      </c>
      <c r="AD65" s="52" t="s">
        <v>34</v>
      </c>
      <c r="AE65" s="80"/>
      <c r="AF65" s="52" t="s">
        <v>75</v>
      </c>
      <c r="AG65" s="52" t="s">
        <v>52</v>
      </c>
      <c r="AH65" s="52" t="s">
        <v>35</v>
      </c>
      <c r="AI65" s="52" t="s">
        <v>35</v>
      </c>
      <c r="AJ65" s="52" t="s">
        <v>36</v>
      </c>
    </row>
    <row r="66" spans="27:36" ht="13.5" thickTop="1" x14ac:dyDescent="0.2">
      <c r="AA66" s="29">
        <v>1</v>
      </c>
      <c r="AB66" s="40">
        <v>25</v>
      </c>
      <c r="AC66" s="40">
        <f>6.407*POWER(AD66, -0.5478)</f>
        <v>1.606080905540908</v>
      </c>
      <c r="AD66" s="81">
        <f>AF66*$R$12</f>
        <v>12.5</v>
      </c>
      <c r="AE66" s="53">
        <f>$R$12/AF66</f>
        <v>200</v>
      </c>
      <c r="AF66" s="54">
        <f>AB66/$R$11*$R$12</f>
        <v>0.25</v>
      </c>
      <c r="AG66" s="53">
        <f>AC66*AD66</f>
        <v>20.076011319261351</v>
      </c>
      <c r="AH66" s="55">
        <f>SQRT(AD66/AE66)</f>
        <v>0.25</v>
      </c>
      <c r="AI66" s="56">
        <f>(AH66*AE66)</f>
        <v>50</v>
      </c>
      <c r="AJ66" s="57">
        <f>(($AC$2/AH66)+($AC$3/AI66))*100+5</f>
        <v>205.99999999999997</v>
      </c>
    </row>
    <row r="67" spans="27:36" x14ac:dyDescent="0.2">
      <c r="AA67" s="29">
        <v>2</v>
      </c>
      <c r="AB67" s="40">
        <v>50</v>
      </c>
      <c r="AC67" s="40">
        <f>5.126*POWER(AD67, -0.5478)</f>
        <v>0.87899633666617227</v>
      </c>
      <c r="AD67" s="81">
        <f>AF67*$R$12</f>
        <v>25</v>
      </c>
      <c r="AE67" s="53">
        <f>$R$12/AF67</f>
        <v>100</v>
      </c>
      <c r="AF67" s="54">
        <f>AB67/$R$11*$R$12</f>
        <v>0.5</v>
      </c>
      <c r="AG67" s="53">
        <f>AC67*AD67</f>
        <v>21.974908416654308</v>
      </c>
      <c r="AH67" s="55">
        <f>SQRT(AD67/AE67)</f>
        <v>0.5</v>
      </c>
      <c r="AI67" s="56">
        <f>(AH67*AE67)</f>
        <v>50</v>
      </c>
      <c r="AJ67" s="57">
        <f>(($AC$2/AH67)+($AC$3/AI67))*100+5</f>
        <v>106</v>
      </c>
    </row>
    <row r="68" spans="27:36" x14ac:dyDescent="0.2">
      <c r="AA68" s="29">
        <v>3</v>
      </c>
      <c r="AB68" s="40">
        <v>100</v>
      </c>
      <c r="AC68" s="40">
        <f>3.844*POWER(AD68, -0.5478)</f>
        <v>0.45090765737940325</v>
      </c>
      <c r="AD68" s="81">
        <f>AF68*$R$12</f>
        <v>50</v>
      </c>
      <c r="AE68" s="53">
        <f>$R$12/AF68</f>
        <v>50</v>
      </c>
      <c r="AF68" s="54">
        <f>AB68/$R$11*$R$12</f>
        <v>1</v>
      </c>
      <c r="AG68" s="53">
        <f>AC68*AD68</f>
        <v>22.545382868970162</v>
      </c>
      <c r="AH68" s="55">
        <f>SQRT(AD68/AE68)</f>
        <v>1</v>
      </c>
      <c r="AI68" s="56">
        <f>(AH68*AE68)</f>
        <v>50</v>
      </c>
      <c r="AJ68" s="57">
        <f>(($AC$2/AH68)+($AC$3/AI68))*100+5</f>
        <v>56</v>
      </c>
    </row>
    <row r="69" spans="27:36" x14ac:dyDescent="0.2">
      <c r="AA69" s="29">
        <v>4</v>
      </c>
      <c r="AB69" s="40">
        <v>250</v>
      </c>
      <c r="AC69" s="40">
        <f>3.844*POWER(AD69, -0.5478)</f>
        <v>0.27295815493111464</v>
      </c>
      <c r="AD69" s="81">
        <f>AF69*$R$12</f>
        <v>125</v>
      </c>
      <c r="AE69" s="53">
        <f>$R$12/AF69</f>
        <v>20</v>
      </c>
      <c r="AF69" s="54">
        <f>AB69/$R$11*$R$12</f>
        <v>2.5</v>
      </c>
      <c r="AG69" s="53">
        <f>AC69*AD69</f>
        <v>34.119769366389328</v>
      </c>
      <c r="AH69" s="55">
        <f>SQRT(AD69/AE69)</f>
        <v>2.5</v>
      </c>
      <c r="AI69" s="56">
        <f>(AH69*AE69)</f>
        <v>50</v>
      </c>
      <c r="AJ69" s="57">
        <f>(($AC$2/AH69)+($AC$3/AI69))*100+5</f>
        <v>26.000000000000004</v>
      </c>
    </row>
    <row r="70" spans="27:36" x14ac:dyDescent="0.2">
      <c r="AA70" s="29">
        <v>5</v>
      </c>
      <c r="AB70" s="40">
        <v>1000</v>
      </c>
      <c r="AC70" s="40">
        <f>6.047*POWER(AD70, -0.5478)</f>
        <v>0.20092972980178947</v>
      </c>
      <c r="AD70" s="81">
        <f>AF70*$R$12</f>
        <v>500</v>
      </c>
      <c r="AE70" s="53">
        <f>$R$12/AF70</f>
        <v>5</v>
      </c>
      <c r="AF70" s="54">
        <f>AB70/$R$11*$R$12</f>
        <v>10</v>
      </c>
      <c r="AG70" s="53">
        <f>AC70*AD70</f>
        <v>100.46486490089474</v>
      </c>
      <c r="AH70" s="55">
        <f>SQRT(AD70/AE70)</f>
        <v>10</v>
      </c>
      <c r="AI70" s="56">
        <f>(AH70*AE70)</f>
        <v>50</v>
      </c>
      <c r="AJ70" s="57">
        <f>(($AC$2/AH70)+($AC$3/AI70))*100+5</f>
        <v>11</v>
      </c>
    </row>
  </sheetData>
  <sheetProtection password="CADF" sheet="1" objects="1" scenarios="1" selectLockedCells="1"/>
  <mergeCells count="84">
    <mergeCell ref="A1:T1"/>
    <mergeCell ref="B7:C7"/>
    <mergeCell ref="O10:P10"/>
    <mergeCell ref="R10:S10"/>
    <mergeCell ref="C10:D10"/>
    <mergeCell ref="F10:G10"/>
    <mergeCell ref="B9:S9"/>
    <mergeCell ref="I10:J10"/>
    <mergeCell ref="L10:M10"/>
    <mergeCell ref="A2:T2"/>
    <mergeCell ref="AD19:AD20"/>
    <mergeCell ref="B22:B23"/>
    <mergeCell ref="B21:S21"/>
    <mergeCell ref="L22:N22"/>
    <mergeCell ref="O12:P12"/>
    <mergeCell ref="R12:S12"/>
    <mergeCell ref="C12:D12"/>
    <mergeCell ref="F12:G12"/>
    <mergeCell ref="AD30:AD31"/>
    <mergeCell ref="I41:J41"/>
    <mergeCell ref="L41:M41"/>
    <mergeCell ref="B37:S37"/>
    <mergeCell ref="B38:B39"/>
    <mergeCell ref="C40:D40"/>
    <mergeCell ref="F40:G40"/>
    <mergeCell ref="I40:J40"/>
    <mergeCell ref="L40:M40"/>
    <mergeCell ref="O40:P40"/>
    <mergeCell ref="R40:S40"/>
    <mergeCell ref="O41:P41"/>
    <mergeCell ref="R41:S41"/>
    <mergeCell ref="C42:D42"/>
    <mergeCell ref="F42:G42"/>
    <mergeCell ref="I42:J42"/>
    <mergeCell ref="L42:M42"/>
    <mergeCell ref="O42:P42"/>
    <mergeCell ref="R42:S42"/>
    <mergeCell ref="C41:D41"/>
    <mergeCell ref="C44:D44"/>
    <mergeCell ref="F44:G44"/>
    <mergeCell ref="I44:J44"/>
    <mergeCell ref="L44:M44"/>
    <mergeCell ref="F41:G41"/>
    <mergeCell ref="C43:D43"/>
    <mergeCell ref="F43:G43"/>
    <mergeCell ref="I43:J43"/>
    <mergeCell ref="AD52:AD53"/>
    <mergeCell ref="AD63:AD64"/>
    <mergeCell ref="O43:P43"/>
    <mergeCell ref="R43:S43"/>
    <mergeCell ref="O44:P44"/>
    <mergeCell ref="R44:S44"/>
    <mergeCell ref="O45:P45"/>
    <mergeCell ref="R45:S45"/>
    <mergeCell ref="AA1:AB1"/>
    <mergeCell ref="AC1:AD1"/>
    <mergeCell ref="AA2:AB2"/>
    <mergeCell ref="AC2:AD2"/>
    <mergeCell ref="C45:D45"/>
    <mergeCell ref="F45:G45"/>
    <mergeCell ref="I45:J45"/>
    <mergeCell ref="L45:M45"/>
    <mergeCell ref="AD41:AD42"/>
    <mergeCell ref="L43:M43"/>
    <mergeCell ref="AA3:AB3"/>
    <mergeCell ref="AC3:AD3"/>
    <mergeCell ref="H14:P14"/>
    <mergeCell ref="O11:P11"/>
    <mergeCell ref="R11:S11"/>
    <mergeCell ref="I11:J11"/>
    <mergeCell ref="L11:M11"/>
    <mergeCell ref="I12:J12"/>
    <mergeCell ref="L12:M12"/>
    <mergeCell ref="AD8:AD9"/>
    <mergeCell ref="A4:S4"/>
    <mergeCell ref="C11:D11"/>
    <mergeCell ref="A16:T16"/>
    <mergeCell ref="A31:T31"/>
    <mergeCell ref="I22:K22"/>
    <mergeCell ref="F22:H22"/>
    <mergeCell ref="C22:E22"/>
    <mergeCell ref="R22:T22"/>
    <mergeCell ref="O22:Q22"/>
    <mergeCell ref="F11:G11"/>
  </mergeCells>
  <phoneticPr fontId="0" type="noConversion"/>
  <pageMargins left="0.75" right="0.75" top="1" bottom="1" header="0.5" footer="0.5"/>
  <pageSetup scale="78" fitToWidth="2" orientation="landscape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172</vt:i4>
      </vt:variant>
    </vt:vector>
  </HeadingPairs>
  <TitlesOfParts>
    <vt:vector size="176" baseType="lpstr">
      <vt:lpstr>Design Res &amp; Power &amp; Tol &amp; Etch</vt:lpstr>
      <vt:lpstr>Design Length &amp; Width</vt:lpstr>
      <vt:lpstr>Design Resistance &amp; Width</vt:lpstr>
      <vt:lpstr>Design Resistance &amp; Length</vt:lpstr>
      <vt:lpstr>Desl100.1</vt:lpstr>
      <vt:lpstr>Desl100.2</vt:lpstr>
      <vt:lpstr>DesL100.3</vt:lpstr>
      <vt:lpstr>DesL100.4</vt:lpstr>
      <vt:lpstr>DesL100.5</vt:lpstr>
      <vt:lpstr>DesL100.6</vt:lpstr>
      <vt:lpstr>DesL1000.1</vt:lpstr>
      <vt:lpstr>DesL1000.2</vt:lpstr>
      <vt:lpstr>DesL1000.3</vt:lpstr>
      <vt:lpstr>DesL1000.4</vt:lpstr>
      <vt:lpstr>DesL1000.5</vt:lpstr>
      <vt:lpstr>DesL1000.6</vt:lpstr>
      <vt:lpstr>DesL25.1</vt:lpstr>
      <vt:lpstr>DesL25.2</vt:lpstr>
      <vt:lpstr>DesL25.3</vt:lpstr>
      <vt:lpstr>DesL25.4</vt:lpstr>
      <vt:lpstr>DesL25.5</vt:lpstr>
      <vt:lpstr>DesL25.6</vt:lpstr>
      <vt:lpstr>DesL250.1</vt:lpstr>
      <vt:lpstr>DesL250.2</vt:lpstr>
      <vt:lpstr>DesL250.3</vt:lpstr>
      <vt:lpstr>DesL250.4</vt:lpstr>
      <vt:lpstr>DesL250.5</vt:lpstr>
      <vt:lpstr>DesL250.6</vt:lpstr>
      <vt:lpstr>DesL50.1</vt:lpstr>
      <vt:lpstr>DesL50.2</vt:lpstr>
      <vt:lpstr>DesL50.3</vt:lpstr>
      <vt:lpstr>DesL50.4</vt:lpstr>
      <vt:lpstr>DesL50.5</vt:lpstr>
      <vt:lpstr>DesL50.6</vt:lpstr>
      <vt:lpstr>DesW100.1</vt:lpstr>
      <vt:lpstr>DesW100.2</vt:lpstr>
      <vt:lpstr>DesW100.3</vt:lpstr>
      <vt:lpstr>DesW100.4</vt:lpstr>
      <vt:lpstr>DesW100.5</vt:lpstr>
      <vt:lpstr>DesW100.6</vt:lpstr>
      <vt:lpstr>DesW1000.1</vt:lpstr>
      <vt:lpstr>DesW1000.2</vt:lpstr>
      <vt:lpstr>DesW1000.3</vt:lpstr>
      <vt:lpstr>DesW1000.4</vt:lpstr>
      <vt:lpstr>DesW1000.5</vt:lpstr>
      <vt:lpstr>DesW1000.6</vt:lpstr>
      <vt:lpstr>DesW25.1</vt:lpstr>
      <vt:lpstr>DesW25.2</vt:lpstr>
      <vt:lpstr>DesW25.3</vt:lpstr>
      <vt:lpstr>DesW25.4</vt:lpstr>
      <vt:lpstr>DesW25.5</vt:lpstr>
      <vt:lpstr>DesW25.6</vt:lpstr>
      <vt:lpstr>DesW250.1</vt:lpstr>
      <vt:lpstr>DesW250.2</vt:lpstr>
      <vt:lpstr>DesW250.3</vt:lpstr>
      <vt:lpstr>DesW250.4</vt:lpstr>
      <vt:lpstr>DesW250.5</vt:lpstr>
      <vt:lpstr>DesW250.6</vt:lpstr>
      <vt:lpstr>DesW50.1</vt:lpstr>
      <vt:lpstr>DesW50.2</vt:lpstr>
      <vt:lpstr>DesW50.3</vt:lpstr>
      <vt:lpstr>DesW50.4</vt:lpstr>
      <vt:lpstr>DesW50.5</vt:lpstr>
      <vt:lpstr>DesW50.6</vt:lpstr>
      <vt:lpstr>Min1000.5</vt:lpstr>
      <vt:lpstr>MinL100.1</vt:lpstr>
      <vt:lpstr>MinL100.2</vt:lpstr>
      <vt:lpstr>MinL100.3</vt:lpstr>
      <vt:lpstr>MinL100.4</vt:lpstr>
      <vt:lpstr>MinL100.5</vt:lpstr>
      <vt:lpstr>MinL100.6</vt:lpstr>
      <vt:lpstr>MinL1000.1</vt:lpstr>
      <vt:lpstr>MinL1000.2</vt:lpstr>
      <vt:lpstr>MinL1000.3</vt:lpstr>
      <vt:lpstr>MinL1000.4</vt:lpstr>
      <vt:lpstr>MinL1000.6</vt:lpstr>
      <vt:lpstr>MinL25.1</vt:lpstr>
      <vt:lpstr>MinL25.2</vt:lpstr>
      <vt:lpstr>MinL25.3</vt:lpstr>
      <vt:lpstr>MinL25.4</vt:lpstr>
      <vt:lpstr>MinL25.5</vt:lpstr>
      <vt:lpstr>MinL25.6</vt:lpstr>
      <vt:lpstr>MinL250.1</vt:lpstr>
      <vt:lpstr>MinL250.2</vt:lpstr>
      <vt:lpstr>MinL250.3</vt:lpstr>
      <vt:lpstr>MinL250.4</vt:lpstr>
      <vt:lpstr>MinL250.5</vt:lpstr>
      <vt:lpstr>MinL250.6</vt:lpstr>
      <vt:lpstr>MinL50.1</vt:lpstr>
      <vt:lpstr>MinL50.2</vt:lpstr>
      <vt:lpstr>MinL50.3</vt:lpstr>
      <vt:lpstr>MinL50.4</vt:lpstr>
      <vt:lpstr>MinL50.5</vt:lpstr>
      <vt:lpstr>MinL50.6</vt:lpstr>
      <vt:lpstr>MinW100.1</vt:lpstr>
      <vt:lpstr>MinW100.2</vt:lpstr>
      <vt:lpstr>MinW100.3</vt:lpstr>
      <vt:lpstr>MinW100.4</vt:lpstr>
      <vt:lpstr>MinW100.5</vt:lpstr>
      <vt:lpstr>MinW100.6</vt:lpstr>
      <vt:lpstr>MinW1000.1</vt:lpstr>
      <vt:lpstr>MinW1000.2</vt:lpstr>
      <vt:lpstr>MinW1000.3</vt:lpstr>
      <vt:lpstr>MinW1000.4</vt:lpstr>
      <vt:lpstr>MinW1000.5</vt:lpstr>
      <vt:lpstr>MinW1000.6</vt:lpstr>
      <vt:lpstr>MinW25.1</vt:lpstr>
      <vt:lpstr>MinW25.2</vt:lpstr>
      <vt:lpstr>MinW25.3</vt:lpstr>
      <vt:lpstr>MinW25.4</vt:lpstr>
      <vt:lpstr>MinW25.5</vt:lpstr>
      <vt:lpstr>MinW25.6</vt:lpstr>
      <vt:lpstr>MinW250.1</vt:lpstr>
      <vt:lpstr>MinW250.2</vt:lpstr>
      <vt:lpstr>MinW250.3</vt:lpstr>
      <vt:lpstr>MinW250.4</vt:lpstr>
      <vt:lpstr>MinW250.5</vt:lpstr>
      <vt:lpstr>MinW250.6</vt:lpstr>
      <vt:lpstr>MinW50.1</vt:lpstr>
      <vt:lpstr>MinW50.2</vt:lpstr>
      <vt:lpstr>MinW50.3</vt:lpstr>
      <vt:lpstr>MinW50.4</vt:lpstr>
      <vt:lpstr>MinW50.5</vt:lpstr>
      <vt:lpstr>MinW50.6</vt:lpstr>
      <vt:lpstr>PD1</vt:lpstr>
      <vt:lpstr>PD2</vt:lpstr>
      <vt:lpstr>PD3</vt:lpstr>
      <vt:lpstr>PD4</vt:lpstr>
      <vt:lpstr>PD5</vt:lpstr>
      <vt:lpstr>PD6</vt:lpstr>
      <vt:lpstr>'Design Length &amp; Width'!Print_Area</vt:lpstr>
      <vt:lpstr>'Design Res &amp; Power &amp; Tol &amp; Etch'!Print_Area</vt:lpstr>
      <vt:lpstr>'Design Resistance &amp; Length'!Print_Area</vt:lpstr>
      <vt:lpstr>'Design Resistance &amp; Width'!Print_Area</vt:lpstr>
      <vt:lpstr>RES1</vt:lpstr>
      <vt:lpstr>RES2</vt:lpstr>
      <vt:lpstr>RES3</vt:lpstr>
      <vt:lpstr>RES4</vt:lpstr>
      <vt:lpstr>RES5</vt:lpstr>
      <vt:lpstr>RES6</vt:lpstr>
      <vt:lpstr>Squ100.1</vt:lpstr>
      <vt:lpstr>Squ100.2</vt:lpstr>
      <vt:lpstr>Squ100.3</vt:lpstr>
      <vt:lpstr>Squ100.4</vt:lpstr>
      <vt:lpstr>Squ100.5</vt:lpstr>
      <vt:lpstr>Squ100.6</vt:lpstr>
      <vt:lpstr>Squ1000.1</vt:lpstr>
      <vt:lpstr>Squ1000.2</vt:lpstr>
      <vt:lpstr>Squ1000.3</vt:lpstr>
      <vt:lpstr>Squ1000.4</vt:lpstr>
      <vt:lpstr>Squ1000.5</vt:lpstr>
      <vt:lpstr>Squ1000.6</vt:lpstr>
      <vt:lpstr>Squ25.1</vt:lpstr>
      <vt:lpstr>Squ25.2</vt:lpstr>
      <vt:lpstr>Squ25.3</vt:lpstr>
      <vt:lpstr>Squ25.4</vt:lpstr>
      <vt:lpstr>Squ25.5</vt:lpstr>
      <vt:lpstr>Squ25.6</vt:lpstr>
      <vt:lpstr>Squ250.1</vt:lpstr>
      <vt:lpstr>Squ250.2</vt:lpstr>
      <vt:lpstr>Squ250.3</vt:lpstr>
      <vt:lpstr>Squ250.4</vt:lpstr>
      <vt:lpstr>Squ250.5</vt:lpstr>
      <vt:lpstr>Squ250.6</vt:lpstr>
      <vt:lpstr>Squ50.1</vt:lpstr>
      <vt:lpstr>Squ50.2</vt:lpstr>
      <vt:lpstr>Squ50.3</vt:lpstr>
      <vt:lpstr>Squ50.4</vt:lpstr>
      <vt:lpstr>Squ50.5</vt:lpstr>
      <vt:lpstr>Squ50.6</vt:lpstr>
      <vt:lpstr>TOL1</vt:lpstr>
      <vt:lpstr>TOL2</vt:lpstr>
      <vt:lpstr>TOL3</vt:lpstr>
      <vt:lpstr>TOL4</vt:lpstr>
      <vt:lpstr>TOL5</vt:lpstr>
      <vt:lpstr>TOL6</vt:lpstr>
    </vt:vector>
  </TitlesOfParts>
  <Manager/>
  <Company>Ticer Technologies</Company>
  <LinksUpToDate>false</LinksUpToDate>
  <SharedDoc>false</SharedDoc>
  <HyperlinkBase>www.ticertechnologies.com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TCR Resistor Calculator Rev. 09</dc:title>
  <dc:subject>embedded resistor calculators</dc:subject>
  <dc:creator>Rocky Hilburn, rhilburn@ticertechnologies.com</dc:creator>
  <cp:keywords>embedded, passives, resistor, TCR</cp:keywords>
  <dc:description>Contains calculators that can determine resistor size, power, and tolerance. Resistor value based on length and width. Resistor length and resistor width. _x000d_
Rev. 09 dated May 30, 2007 Etch Tolerances variables added._x000d_
Rev. 08 dated April 3, 2007 Power density algorithms added for more precise power handling calculations. _x000d_
Rev. 07 dated October 11, 2006 1000 OPS added. Protection password is ""</dc:description>
  <cp:lastModifiedBy>Katie Casciato</cp:lastModifiedBy>
  <cp:lastPrinted>2013-05-08T17:18:43Z</cp:lastPrinted>
  <dcterms:created xsi:type="dcterms:W3CDTF">2001-03-29T19:41:48Z</dcterms:created>
  <dcterms:modified xsi:type="dcterms:W3CDTF">2017-05-09T21:09:54Z</dcterms:modified>
  <cp:category>passives</cp:category>
</cp:coreProperties>
</file>